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/Users/traymond1/Documents/Temp/"/>
    </mc:Choice>
  </mc:AlternateContent>
  <xr:revisionPtr revIDLastSave="0" documentId="8_{E3753829-2568-CF4F-95C0-3C6126AA1B80}" xr6:coauthVersionLast="47" xr6:coauthVersionMax="47" xr10:uidLastSave="{00000000-0000-0000-0000-000000000000}"/>
  <bookViews>
    <workbookView xWindow="4700" yWindow="500" windowWidth="28660" windowHeight="19200" activeTab="1" xr2:uid="{00000000-000D-0000-FFFF-FFFF00000000}"/>
  </bookViews>
  <sheets>
    <sheet name="Age" sheetId="1" r:id="rId1"/>
    <sheet name="Credit Hours" sheetId="2" r:id="rId2"/>
    <sheet name="DevEd" sheetId="3" r:id="rId3"/>
    <sheet name="Enrollment" sheetId="8" r:id="rId4"/>
    <sheet name="Ethnicity" sheetId="5" r:id="rId5"/>
    <sheet name="FirstGen" sheetId="6" r:id="rId6"/>
    <sheet name="Gender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8" i="7" l="1"/>
  <c r="Q127" i="7"/>
  <c r="Q124" i="7"/>
  <c r="Q123" i="7"/>
  <c r="M135" i="7"/>
  <c r="Q76" i="7"/>
  <c r="Q75" i="7"/>
  <c r="Q74" i="7"/>
  <c r="Q72" i="7"/>
  <c r="Q71" i="7"/>
  <c r="Q70" i="7"/>
  <c r="Q69" i="7"/>
  <c r="Q67" i="7"/>
  <c r="Q66" i="7"/>
  <c r="Q63" i="7"/>
  <c r="Q62" i="7"/>
  <c r="Q59" i="7"/>
  <c r="Q58" i="7"/>
  <c r="M77" i="7"/>
  <c r="M75" i="7"/>
  <c r="M74" i="7"/>
  <c r="M68" i="7"/>
  <c r="M67" i="7"/>
  <c r="M66" i="7"/>
  <c r="M59" i="7"/>
  <c r="M58" i="7"/>
  <c r="Q35" i="7"/>
  <c r="Q33" i="7"/>
  <c r="Q32" i="7"/>
  <c r="M49" i="7"/>
  <c r="M48" i="7"/>
  <c r="M46" i="7"/>
  <c r="M45" i="7"/>
  <c r="M44" i="7"/>
  <c r="M42" i="7"/>
  <c r="M41" i="7"/>
  <c r="M40" i="7"/>
  <c r="M37" i="7"/>
  <c r="M36" i="7"/>
  <c r="M35" i="7"/>
  <c r="M33" i="7"/>
  <c r="M32" i="7"/>
  <c r="M31" i="7"/>
  <c r="M29" i="7"/>
  <c r="M28" i="7"/>
  <c r="M7" i="7"/>
  <c r="M6" i="7"/>
  <c r="M3" i="7"/>
  <c r="M2" i="7"/>
  <c r="M140" i="6"/>
  <c r="M139" i="6"/>
  <c r="M138" i="6"/>
  <c r="M137" i="6"/>
  <c r="M126" i="6"/>
  <c r="M125" i="6"/>
  <c r="M76" i="6"/>
  <c r="M75" i="6"/>
  <c r="M74" i="6"/>
  <c r="M73" i="6"/>
  <c r="M72" i="6"/>
  <c r="M71" i="6"/>
  <c r="M70" i="6"/>
  <c r="M69" i="6"/>
  <c r="M68" i="6"/>
  <c r="M67" i="6"/>
  <c r="M66" i="6"/>
  <c r="M65" i="6"/>
  <c r="M62" i="6"/>
  <c r="M61" i="6"/>
  <c r="M58" i="6"/>
  <c r="M57" i="6"/>
  <c r="M43" i="6"/>
  <c r="M42" i="6"/>
  <c r="M39" i="6"/>
  <c r="M37" i="6"/>
  <c r="M36" i="6"/>
  <c r="M35" i="6"/>
  <c r="M34" i="6"/>
  <c r="M33" i="6"/>
  <c r="M32" i="6"/>
  <c r="M31" i="6"/>
  <c r="M30" i="6"/>
  <c r="M29" i="6"/>
  <c r="M28" i="6"/>
  <c r="M5" i="6"/>
  <c r="M4" i="6"/>
  <c r="M3" i="6"/>
  <c r="M2" i="6"/>
  <c r="Q231" i="5"/>
  <c r="Q230" i="5"/>
  <c r="Q228" i="5"/>
  <c r="Q225" i="5"/>
  <c r="Q224" i="5"/>
  <c r="Q221" i="5"/>
  <c r="Q218" i="5"/>
  <c r="Q215" i="5"/>
  <c r="Q214" i="5"/>
  <c r="M225" i="5"/>
  <c r="M224" i="5"/>
  <c r="Q123" i="5"/>
  <c r="Q122" i="5"/>
  <c r="Q120" i="5"/>
  <c r="Q117" i="5"/>
  <c r="Q116" i="5"/>
  <c r="Q115" i="5"/>
  <c r="Q113" i="5"/>
  <c r="Q112" i="5"/>
  <c r="Q111" i="5"/>
  <c r="Q110" i="5"/>
  <c r="Q107" i="5"/>
  <c r="Q106" i="5"/>
  <c r="Q102" i="5"/>
  <c r="Q100" i="5"/>
  <c r="Q97" i="5"/>
  <c r="Q96" i="5"/>
  <c r="Q92" i="5"/>
  <c r="Q91" i="5"/>
  <c r="Q90" i="5"/>
  <c r="Q87" i="5"/>
  <c r="Q86" i="5"/>
  <c r="Q83" i="5"/>
  <c r="Q82" i="5"/>
  <c r="Q80" i="5"/>
  <c r="Q77" i="5"/>
  <c r="Q76" i="5"/>
  <c r="Q75" i="5"/>
  <c r="M123" i="5"/>
  <c r="M122" i="5"/>
  <c r="M121" i="5"/>
  <c r="M120" i="5"/>
  <c r="M117" i="5"/>
  <c r="M116" i="5"/>
  <c r="M115" i="5"/>
  <c r="M103" i="5"/>
  <c r="M102" i="5"/>
  <c r="M100" i="5"/>
  <c r="M97" i="5"/>
  <c r="M96" i="5"/>
  <c r="M80" i="5"/>
  <c r="M83" i="5"/>
  <c r="M82" i="5"/>
  <c r="M77" i="5"/>
  <c r="M76" i="5"/>
  <c r="Q66" i="5"/>
  <c r="Q64" i="5"/>
  <c r="Q61" i="5"/>
  <c r="Q60" i="5"/>
  <c r="Q59" i="5"/>
  <c r="Q47" i="5"/>
  <c r="Q46" i="5"/>
  <c r="Q44" i="5"/>
  <c r="Q41" i="5"/>
  <c r="Q40" i="5"/>
  <c r="Q37" i="5"/>
  <c r="Q36" i="5"/>
  <c r="Q35" i="5"/>
  <c r="Q34" i="5"/>
  <c r="Q31" i="5"/>
  <c r="Q30" i="5"/>
  <c r="Q29" i="5"/>
  <c r="M67" i="5"/>
  <c r="M66" i="5"/>
  <c r="M65" i="5"/>
  <c r="M64" i="5"/>
  <c r="M61" i="5"/>
  <c r="M60" i="5"/>
  <c r="M59" i="5"/>
  <c r="M57" i="5"/>
  <c r="M56" i="5"/>
  <c r="M54" i="5"/>
  <c r="M51" i="5"/>
  <c r="M50" i="5"/>
  <c r="M49" i="5"/>
  <c r="M47" i="5"/>
  <c r="M46" i="5"/>
  <c r="M45" i="5"/>
  <c r="M44" i="5"/>
  <c r="M41" i="5"/>
  <c r="M40" i="5"/>
  <c r="M37" i="5"/>
  <c r="M34" i="5"/>
  <c r="M31" i="5"/>
  <c r="M30" i="5"/>
  <c r="Q11" i="5"/>
  <c r="Q10" i="5"/>
  <c r="Q8" i="5"/>
  <c r="Q5" i="5"/>
  <c r="Q4" i="5"/>
  <c r="M8" i="5"/>
  <c r="M5" i="5"/>
  <c r="M139" i="3"/>
  <c r="M138" i="3"/>
  <c r="M137" i="3"/>
  <c r="M136" i="3"/>
  <c r="M125" i="3"/>
  <c r="M124" i="3"/>
  <c r="M76" i="3"/>
  <c r="M75" i="3"/>
  <c r="M74" i="3"/>
  <c r="M73" i="3"/>
  <c r="M72" i="3"/>
  <c r="M71" i="3"/>
  <c r="M70" i="3"/>
  <c r="M69" i="3"/>
  <c r="M68" i="3"/>
  <c r="M67" i="3"/>
  <c r="M62" i="3"/>
  <c r="M61" i="3"/>
  <c r="M58" i="3"/>
  <c r="M57" i="3"/>
  <c r="M43" i="3"/>
  <c r="M42" i="3"/>
  <c r="M39" i="3"/>
  <c r="M38" i="3"/>
  <c r="M37" i="3"/>
  <c r="M36" i="3"/>
  <c r="M35" i="3"/>
  <c r="M34" i="3"/>
  <c r="M33" i="3"/>
  <c r="M32" i="3"/>
  <c r="M31" i="3"/>
  <c r="M30" i="3"/>
  <c r="M29" i="3"/>
  <c r="M28" i="3"/>
  <c r="M5" i="3"/>
  <c r="M4" i="3"/>
  <c r="M3" i="3"/>
  <c r="M2" i="3"/>
  <c r="M139" i="2"/>
  <c r="M138" i="2"/>
  <c r="M137" i="2"/>
  <c r="M136" i="2"/>
  <c r="M125" i="2"/>
  <c r="M124" i="2"/>
  <c r="M76" i="2"/>
  <c r="M75" i="2"/>
  <c r="M74" i="2"/>
  <c r="M73" i="2"/>
  <c r="M72" i="2"/>
  <c r="M71" i="2"/>
  <c r="M70" i="2"/>
  <c r="M69" i="2"/>
  <c r="M68" i="2"/>
  <c r="M67" i="2"/>
  <c r="M66" i="2"/>
  <c r="M65" i="2"/>
  <c r="M62" i="2"/>
  <c r="M61" i="2"/>
  <c r="M58" i="2"/>
  <c r="M57" i="2"/>
  <c r="M43" i="2"/>
  <c r="M42" i="2"/>
  <c r="M39" i="2"/>
  <c r="M38" i="2"/>
  <c r="M37" i="2"/>
  <c r="M36" i="2"/>
  <c r="M35" i="2"/>
  <c r="M34" i="2"/>
  <c r="M33" i="2"/>
  <c r="M32" i="2"/>
  <c r="M31" i="2"/>
  <c r="M30" i="2"/>
  <c r="M29" i="2"/>
  <c r="M28" i="2"/>
  <c r="M5" i="2"/>
  <c r="M4" i="2"/>
  <c r="M2" i="2"/>
  <c r="M140" i="1"/>
  <c r="M139" i="1"/>
  <c r="M138" i="1"/>
  <c r="M137" i="1"/>
  <c r="M125" i="1"/>
  <c r="M66" i="1"/>
  <c r="M65" i="1"/>
  <c r="M62" i="1"/>
  <c r="M61" i="1"/>
  <c r="M57" i="1"/>
  <c r="M76" i="1"/>
  <c r="M75" i="1"/>
  <c r="M74" i="1"/>
  <c r="M73" i="1"/>
  <c r="M72" i="1"/>
  <c r="M71" i="1"/>
  <c r="M70" i="1"/>
  <c r="M69" i="1"/>
  <c r="M68" i="1"/>
  <c r="M67" i="1"/>
  <c r="M43" i="1"/>
  <c r="M42" i="1"/>
  <c r="M39" i="1"/>
  <c r="M38" i="1"/>
  <c r="M37" i="1"/>
  <c r="M36" i="1"/>
  <c r="M35" i="1"/>
  <c r="M34" i="1"/>
  <c r="M33" i="1"/>
  <c r="M32" i="1"/>
  <c r="M31" i="1"/>
  <c r="M30" i="1"/>
  <c r="M29" i="1"/>
  <c r="M28" i="1"/>
  <c r="M5" i="1"/>
  <c r="M4" i="1"/>
  <c r="M2" i="1"/>
</calcChain>
</file>

<file path=xl/sharedStrings.xml><?xml version="1.0" encoding="utf-8"?>
<sst xmlns="http://schemas.openxmlformats.org/spreadsheetml/2006/main" count="2390" uniqueCount="67">
  <si>
    <t>4L</t>
  </si>
  <si>
    <t>9a</t>
  </si>
  <si>
    <t>9b</t>
  </si>
  <si>
    <t>9c</t>
  </si>
  <si>
    <t>9d</t>
  </si>
  <si>
    <t>9e</t>
  </si>
  <si>
    <t>9f</t>
  </si>
  <si>
    <t>10a</t>
  </si>
  <si>
    <t>10b</t>
  </si>
  <si>
    <t>10c</t>
  </si>
  <si>
    <t>10d</t>
  </si>
  <si>
    <t>10e</t>
  </si>
  <si>
    <t>23a</t>
  </si>
  <si>
    <t>23b</t>
  </si>
  <si>
    <t>23c</t>
  </si>
  <si>
    <t>23d</t>
  </si>
  <si>
    <t>23e</t>
  </si>
  <si>
    <t>27a</t>
  </si>
  <si>
    <t>27b</t>
  </si>
  <si>
    <t>27c</t>
  </si>
  <si>
    <t>27d</t>
  </si>
  <si>
    <t>27e</t>
  </si>
  <si>
    <t>27f</t>
  </si>
  <si>
    <t>27g</t>
  </si>
  <si>
    <t>27h</t>
  </si>
  <si>
    <t xml:space="preserve">FREQ </t>
  </si>
  <si>
    <t>12a</t>
  </si>
  <si>
    <t>12b</t>
  </si>
  <si>
    <t>12c</t>
  </si>
  <si>
    <t>12d</t>
  </si>
  <si>
    <t>12e</t>
  </si>
  <si>
    <t>12f</t>
  </si>
  <si>
    <t>12g</t>
  </si>
  <si>
    <t>12h</t>
  </si>
  <si>
    <t>12i</t>
  </si>
  <si>
    <t>12j</t>
  </si>
  <si>
    <t>12k</t>
  </si>
  <si>
    <t>12l</t>
  </si>
  <si>
    <t>12m</t>
  </si>
  <si>
    <t>SATIS</t>
  </si>
  <si>
    <t>IMPOR</t>
  </si>
  <si>
    <t>%</t>
  </si>
  <si>
    <t>Traditional Age</t>
  </si>
  <si>
    <t>Non-Traditional Age</t>
  </si>
  <si>
    <t>0 to 29 Credits</t>
  </si>
  <si>
    <t>30+  Credits</t>
  </si>
  <si>
    <t>Developmental</t>
  </si>
  <si>
    <t>Part-Time</t>
  </si>
  <si>
    <t>Full-Time</t>
  </si>
  <si>
    <t>American Indian or Alaska Native</t>
  </si>
  <si>
    <t>Asian</t>
  </si>
  <si>
    <t>Black or African American</t>
  </si>
  <si>
    <t>Hispanic or Latino</t>
  </si>
  <si>
    <t>Native Hawaiian</t>
  </si>
  <si>
    <t>Pacific Islander (non-Native
Hawaiian)</t>
  </si>
  <si>
    <t>White</t>
  </si>
  <si>
    <t>Other</t>
  </si>
  <si>
    <t>2 or more</t>
  </si>
  <si>
    <t>I prefer not to respond</t>
  </si>
  <si>
    <t>FREQ</t>
  </si>
  <si>
    <t>Not First-Generation</t>
  </si>
  <si>
    <t>First-Generation</t>
  </si>
  <si>
    <t>Man</t>
  </si>
  <si>
    <t>Woman</t>
  </si>
  <si>
    <t>Prefer not to Respond</t>
  </si>
  <si>
    <t>Non-Developmental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</si>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</sst>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4" fontId="0" fillId="2" borderId="0" xfId="1" applyNumberFormat="1" applyFont="1" applyFill="1"/>
    <xf numFmtId="0" fontId="0" fillId="0" borderId="0" xfId="0" applyFill="1" applyAlignment="1">
      <alignment horizontal="left"/>
    </xf>
    <xf numFmtId="164" fontId="0" fillId="0" borderId="0" xfId="1" applyNumberFormat="1" applyFont="1" applyFill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/>
    </xf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right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0" fillId="3" borderId="0" xfId="0" applyNumberFormat="1" applyFill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95247</xdr:colOff>
      <xdr:row>1</xdr:row>
      <xdr:rowOff>0</xdr:rowOff>
    </xdr:from>
    <xdr:to>
      <xdr:col>9</xdr:col>
      <xdr:colOff>73911</xdr:colOff>
      <xdr:row>13</xdr:row>
      <xdr:rowOff>167152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0" t="2488" r="676" b="2972"/>
        <a:stretch/>
      </xdr:blipFill>
      <xdr:spPr>
        <a:xfrm>
          <a:off x="95247" y="201083"/>
          <a:ext cx="6455664" cy="245315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95247</xdr:colOff>
      <xdr:row>14</xdr:row>
      <xdr:rowOff>166159</xdr:rowOff>
    </xdr:from>
    <xdr:to>
      <xdr:col>9</xdr:col>
      <xdr:colOff>73911</xdr:colOff>
      <xdr:row>26</xdr:row>
      <xdr:rowOff>48354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80" t="2437" r="1459"/>
        <a:stretch/>
      </xdr:blipFill>
      <xdr:spPr>
        <a:xfrm>
          <a:off x="95247" y="2843742"/>
          <a:ext cx="6455664" cy="216819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95247</xdr:colOff>
      <xdr:row>27</xdr:row>
      <xdr:rowOff>47361</xdr:rowOff>
    </xdr:from>
    <xdr:to>
      <xdr:col>9</xdr:col>
      <xdr:colOff>73911</xdr:colOff>
      <xdr:row>55</xdr:row>
      <xdr:rowOff>76463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47" y="5201444"/>
          <a:ext cx="6455664" cy="536310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>
    <xdr:from>
      <xdr:col>0</xdr:col>
      <xdr:colOff>95247</xdr:colOff>
      <xdr:row>56</xdr:row>
      <xdr:rowOff>75470</xdr:rowOff>
    </xdr:from>
    <xdr:to>
      <xdr:col>9</xdr:col>
      <xdr:colOff>67236</xdr:colOff>
      <xdr:row>86</xdr:row>
      <xdr:rowOff>86053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95247" y="10967588"/>
          <a:ext cx="7233401" cy="5777877"/>
          <a:chOff x="9398000" y="10572750"/>
          <a:chExt cx="6400000" cy="5695562"/>
        </a:xfrm>
      </xdr:grpSpPr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398000" y="10572750"/>
            <a:ext cx="6400000" cy="257142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398000" y="13144503"/>
            <a:ext cx="6390476" cy="312380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</xdr:grpSp>
    <xdr:clientData/>
  </xdr:twoCellAnchor>
  <xdr:twoCellAnchor editAs="oneCell">
    <xdr:from>
      <xdr:col>0</xdr:col>
      <xdr:colOff>95247</xdr:colOff>
      <xdr:row>87</xdr:row>
      <xdr:rowOff>85060</xdr:rowOff>
    </xdr:from>
    <xdr:to>
      <xdr:col>9</xdr:col>
      <xdr:colOff>56030</xdr:colOff>
      <xdr:row>113</xdr:row>
      <xdr:rowOff>56542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47" y="16624942"/>
          <a:ext cx="6415371" cy="4868453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95247</xdr:colOff>
      <xdr:row>114</xdr:row>
      <xdr:rowOff>55549</xdr:rowOff>
    </xdr:from>
    <xdr:to>
      <xdr:col>9</xdr:col>
      <xdr:colOff>73911</xdr:colOff>
      <xdr:row>153</xdr:row>
      <xdr:rowOff>65808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47" y="21687882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95247</xdr:colOff>
      <xdr:row>154</xdr:row>
      <xdr:rowOff>64815</xdr:rowOff>
    </xdr:from>
    <xdr:to>
      <xdr:col>9</xdr:col>
      <xdr:colOff>73911</xdr:colOff>
      <xdr:row>193</xdr:row>
      <xdr:rowOff>75074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47" y="29317148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95247</xdr:colOff>
      <xdr:row>194</xdr:row>
      <xdr:rowOff>74084</xdr:rowOff>
    </xdr:from>
    <xdr:to>
      <xdr:col>9</xdr:col>
      <xdr:colOff>73911</xdr:colOff>
      <xdr:row>233</xdr:row>
      <xdr:rowOff>84343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47" y="36946417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105829</xdr:colOff>
      <xdr:row>1</xdr:row>
      <xdr:rowOff>0</xdr:rowOff>
    </xdr:from>
    <xdr:to>
      <xdr:col>9</xdr:col>
      <xdr:colOff>132118</xdr:colOff>
      <xdr:row>13</xdr:row>
      <xdr:rowOff>185384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0" t="2488" r="676" b="2972"/>
        <a:stretch/>
      </xdr:blipFill>
      <xdr:spPr>
        <a:xfrm>
          <a:off x="105829" y="200025"/>
          <a:ext cx="6455664" cy="2471384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105829</xdr:colOff>
      <xdr:row>14</xdr:row>
      <xdr:rowOff>166159</xdr:rowOff>
    </xdr:from>
    <xdr:to>
      <xdr:col>9</xdr:col>
      <xdr:colOff>132118</xdr:colOff>
      <xdr:row>26</xdr:row>
      <xdr:rowOff>64468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80" t="2437" r="1459"/>
        <a:stretch/>
      </xdr:blipFill>
      <xdr:spPr>
        <a:xfrm>
          <a:off x="105829" y="2842684"/>
          <a:ext cx="6455664" cy="218430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105829</xdr:colOff>
      <xdr:row>27</xdr:row>
      <xdr:rowOff>47360</xdr:rowOff>
    </xdr:from>
    <xdr:to>
      <xdr:col>9</xdr:col>
      <xdr:colOff>132118</xdr:colOff>
      <xdr:row>55</xdr:row>
      <xdr:rowOff>84547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829" y="5200385"/>
          <a:ext cx="6455664" cy="539976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>
    <xdr:from>
      <xdr:col>0</xdr:col>
      <xdr:colOff>105829</xdr:colOff>
      <xdr:row>56</xdr:row>
      <xdr:rowOff>43720</xdr:rowOff>
    </xdr:from>
    <xdr:to>
      <xdr:col>9</xdr:col>
      <xdr:colOff>132118</xdr:colOff>
      <xdr:row>86</xdr:row>
      <xdr:rowOff>11970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105829" y="11120942"/>
          <a:ext cx="7392289" cy="5866695"/>
          <a:chOff x="9398000" y="10572750"/>
          <a:chExt cx="6400000" cy="5695562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398000" y="10572750"/>
            <a:ext cx="6400000" cy="257142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398000" y="13144503"/>
            <a:ext cx="6390476" cy="312380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</xdr:grpSp>
    <xdr:clientData/>
  </xdr:twoCellAnchor>
  <xdr:twoCellAnchor editAs="oneCell">
    <xdr:from>
      <xdr:col>0</xdr:col>
      <xdr:colOff>105829</xdr:colOff>
      <xdr:row>87</xdr:row>
      <xdr:rowOff>10977</xdr:rowOff>
    </xdr:from>
    <xdr:to>
      <xdr:col>9</xdr:col>
      <xdr:colOff>132118</xdr:colOff>
      <xdr:row>112</xdr:row>
      <xdr:rowOff>82180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829" y="16622577"/>
          <a:ext cx="6455664" cy="4909903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105829</xdr:colOff>
      <xdr:row>113</xdr:row>
      <xdr:rowOff>44965</xdr:rowOff>
    </xdr:from>
    <xdr:to>
      <xdr:col>9</xdr:col>
      <xdr:colOff>132118</xdr:colOff>
      <xdr:row>152</xdr:row>
      <xdr:rowOff>57632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29" y="21685765"/>
          <a:ext cx="6455664" cy="7499317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105829</xdr:colOff>
      <xdr:row>153</xdr:row>
      <xdr:rowOff>1314</xdr:rowOff>
    </xdr:from>
    <xdr:to>
      <xdr:col>9</xdr:col>
      <xdr:colOff>132118</xdr:colOff>
      <xdr:row>192</xdr:row>
      <xdr:rowOff>66866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29" y="29319264"/>
          <a:ext cx="6455664" cy="749505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105829</xdr:colOff>
      <xdr:row>193</xdr:row>
      <xdr:rowOff>10583</xdr:rowOff>
    </xdr:from>
    <xdr:to>
      <xdr:col>9</xdr:col>
      <xdr:colOff>132118</xdr:colOff>
      <xdr:row>232</xdr:row>
      <xdr:rowOff>76135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29" y="36948533"/>
          <a:ext cx="6455664" cy="749505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0</xdr:rowOff>
    </xdr:from>
    <xdr:to>
      <xdr:col>9</xdr:col>
      <xdr:colOff>84494</xdr:colOff>
      <xdr:row>13</xdr:row>
      <xdr:rowOff>93068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0" t="2488" r="676" b="2972"/>
        <a:stretch/>
      </xdr:blipFill>
      <xdr:spPr>
        <a:xfrm>
          <a:off x="105830" y="201083"/>
          <a:ext cx="6455664" cy="245315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105830</xdr:colOff>
      <xdr:row>14</xdr:row>
      <xdr:rowOff>92075</xdr:rowOff>
    </xdr:from>
    <xdr:to>
      <xdr:col>9</xdr:col>
      <xdr:colOff>84494</xdr:colOff>
      <xdr:row>25</xdr:row>
      <xdr:rowOff>164770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80" t="2437" r="1459"/>
        <a:stretch/>
      </xdr:blipFill>
      <xdr:spPr>
        <a:xfrm>
          <a:off x="105830" y="2843742"/>
          <a:ext cx="6455664" cy="216819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105830</xdr:colOff>
      <xdr:row>26</xdr:row>
      <xdr:rowOff>163777</xdr:rowOff>
    </xdr:from>
    <xdr:to>
      <xdr:col>9</xdr:col>
      <xdr:colOff>84494</xdr:colOff>
      <xdr:row>55</xdr:row>
      <xdr:rowOff>2379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830" y="5201444"/>
          <a:ext cx="6455664" cy="536310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>
    <xdr:from>
      <xdr:col>0</xdr:col>
      <xdr:colOff>105830</xdr:colOff>
      <xdr:row>56</xdr:row>
      <xdr:rowOff>1386</xdr:rowOff>
    </xdr:from>
    <xdr:to>
      <xdr:col>9</xdr:col>
      <xdr:colOff>105661</xdr:colOff>
      <xdr:row>85</xdr:row>
      <xdr:rowOff>160136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105830" y="11135053"/>
          <a:ext cx="7365831" cy="5887861"/>
          <a:chOff x="9398000" y="10572750"/>
          <a:chExt cx="6400000" cy="5695562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398000" y="10572750"/>
            <a:ext cx="6400000" cy="257142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398000" y="13144503"/>
            <a:ext cx="6390476" cy="312380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</xdr:grpSp>
    <xdr:clientData/>
  </xdr:twoCellAnchor>
  <xdr:twoCellAnchor editAs="oneCell">
    <xdr:from>
      <xdr:col>0</xdr:col>
      <xdr:colOff>105830</xdr:colOff>
      <xdr:row>86</xdr:row>
      <xdr:rowOff>159143</xdr:rowOff>
    </xdr:from>
    <xdr:to>
      <xdr:col>9</xdr:col>
      <xdr:colOff>84494</xdr:colOff>
      <xdr:row>112</xdr:row>
      <xdr:rowOff>77708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830" y="16626810"/>
          <a:ext cx="6455664" cy="487156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105830</xdr:colOff>
      <xdr:row>113</xdr:row>
      <xdr:rowOff>76715</xdr:rowOff>
    </xdr:from>
    <xdr:to>
      <xdr:col>9</xdr:col>
      <xdr:colOff>84494</xdr:colOff>
      <xdr:row>152</xdr:row>
      <xdr:rowOff>86974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30" y="21687882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105830</xdr:colOff>
      <xdr:row>153</xdr:row>
      <xdr:rowOff>85981</xdr:rowOff>
    </xdr:from>
    <xdr:to>
      <xdr:col>9</xdr:col>
      <xdr:colOff>84494</xdr:colOff>
      <xdr:row>192</xdr:row>
      <xdr:rowOff>96240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30" y="29317148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105830</xdr:colOff>
      <xdr:row>193</xdr:row>
      <xdr:rowOff>95250</xdr:rowOff>
    </xdr:from>
    <xdr:to>
      <xdr:col>9</xdr:col>
      <xdr:colOff>84494</xdr:colOff>
      <xdr:row>232</xdr:row>
      <xdr:rowOff>105509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30" y="36946417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127001</xdr:rowOff>
    </xdr:from>
    <xdr:to>
      <xdr:col>9</xdr:col>
      <xdr:colOff>84497</xdr:colOff>
      <xdr:row>13</xdr:row>
      <xdr:rowOff>8403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0" t="2488" r="676" b="2972"/>
        <a:stretch/>
      </xdr:blipFill>
      <xdr:spPr>
        <a:xfrm>
          <a:off x="105833" y="127001"/>
          <a:ext cx="6455664" cy="245315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105833</xdr:colOff>
      <xdr:row>14</xdr:row>
      <xdr:rowOff>7410</xdr:rowOff>
    </xdr:from>
    <xdr:to>
      <xdr:col>9</xdr:col>
      <xdr:colOff>84497</xdr:colOff>
      <xdr:row>25</xdr:row>
      <xdr:rowOff>80105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80" t="2437" r="1459"/>
        <a:stretch/>
      </xdr:blipFill>
      <xdr:spPr>
        <a:xfrm>
          <a:off x="105833" y="2769660"/>
          <a:ext cx="6455664" cy="216819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105833</xdr:colOff>
      <xdr:row>26</xdr:row>
      <xdr:rowOff>79112</xdr:rowOff>
    </xdr:from>
    <xdr:to>
      <xdr:col>9</xdr:col>
      <xdr:colOff>84497</xdr:colOff>
      <xdr:row>54</xdr:row>
      <xdr:rowOff>108214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833" y="5127362"/>
          <a:ext cx="6455664" cy="536310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>
    <xdr:from>
      <xdr:col>0</xdr:col>
      <xdr:colOff>105833</xdr:colOff>
      <xdr:row>55</xdr:row>
      <xdr:rowOff>107221</xdr:rowOff>
    </xdr:from>
    <xdr:to>
      <xdr:col>9</xdr:col>
      <xdr:colOff>95080</xdr:colOff>
      <xdr:row>85</xdr:row>
      <xdr:rowOff>75471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105833" y="10679971"/>
          <a:ext cx="7275872" cy="5683250"/>
          <a:chOff x="9398000" y="10572750"/>
          <a:chExt cx="6400000" cy="5695562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398000" y="10572750"/>
            <a:ext cx="6400000" cy="257142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398000" y="13144503"/>
            <a:ext cx="6390476" cy="312380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</xdr:grpSp>
    <xdr:clientData/>
  </xdr:twoCellAnchor>
  <xdr:twoCellAnchor editAs="oneCell">
    <xdr:from>
      <xdr:col>0</xdr:col>
      <xdr:colOff>105833</xdr:colOff>
      <xdr:row>86</xdr:row>
      <xdr:rowOff>74478</xdr:rowOff>
    </xdr:from>
    <xdr:to>
      <xdr:col>9</xdr:col>
      <xdr:colOff>84497</xdr:colOff>
      <xdr:row>111</xdr:row>
      <xdr:rowOff>183543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833" y="16552728"/>
          <a:ext cx="6455664" cy="487156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105833</xdr:colOff>
      <xdr:row>112</xdr:row>
      <xdr:rowOff>182550</xdr:rowOff>
    </xdr:from>
    <xdr:to>
      <xdr:col>9</xdr:col>
      <xdr:colOff>84497</xdr:colOff>
      <xdr:row>152</xdr:row>
      <xdr:rowOff>2309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33" y="21613800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105833</xdr:colOff>
      <xdr:row>153</xdr:row>
      <xdr:rowOff>1316</xdr:rowOff>
    </xdr:from>
    <xdr:to>
      <xdr:col>9</xdr:col>
      <xdr:colOff>84497</xdr:colOff>
      <xdr:row>192</xdr:row>
      <xdr:rowOff>11575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33" y="29243066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105833</xdr:colOff>
      <xdr:row>193</xdr:row>
      <xdr:rowOff>10585</xdr:rowOff>
    </xdr:from>
    <xdr:to>
      <xdr:col>9</xdr:col>
      <xdr:colOff>84497</xdr:colOff>
      <xdr:row>232</xdr:row>
      <xdr:rowOff>20844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33" y="36872335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119060</xdr:colOff>
      <xdr:row>1</xdr:row>
      <xdr:rowOff>0</xdr:rowOff>
    </xdr:from>
    <xdr:to>
      <xdr:col>8</xdr:col>
      <xdr:colOff>669224</xdr:colOff>
      <xdr:row>13</xdr:row>
      <xdr:rowOff>167152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0" t="2488" r="676" b="2972"/>
        <a:stretch/>
      </xdr:blipFill>
      <xdr:spPr>
        <a:xfrm>
          <a:off x="119060" y="202406"/>
          <a:ext cx="6455664" cy="245315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119060</xdr:colOff>
      <xdr:row>14</xdr:row>
      <xdr:rowOff>166159</xdr:rowOff>
    </xdr:from>
    <xdr:to>
      <xdr:col>8</xdr:col>
      <xdr:colOff>669224</xdr:colOff>
      <xdr:row>26</xdr:row>
      <xdr:rowOff>48354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80" t="2437" r="1459"/>
        <a:stretch/>
      </xdr:blipFill>
      <xdr:spPr>
        <a:xfrm>
          <a:off x="119060" y="2845065"/>
          <a:ext cx="6455664" cy="216819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119060</xdr:colOff>
      <xdr:row>27</xdr:row>
      <xdr:rowOff>47361</xdr:rowOff>
    </xdr:from>
    <xdr:to>
      <xdr:col>8</xdr:col>
      <xdr:colOff>669224</xdr:colOff>
      <xdr:row>55</xdr:row>
      <xdr:rowOff>76463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60" y="5202767"/>
          <a:ext cx="6455664" cy="536310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>
    <xdr:from>
      <xdr:col>0</xdr:col>
      <xdr:colOff>119060</xdr:colOff>
      <xdr:row>73</xdr:row>
      <xdr:rowOff>51650</xdr:rowOff>
    </xdr:from>
    <xdr:to>
      <xdr:col>7</xdr:col>
      <xdr:colOff>407286</xdr:colOff>
      <xdr:row>103</xdr:row>
      <xdr:rowOff>19900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pSpPr/>
      </xdr:nvGrpSpPr>
      <xdr:grpSpPr>
        <a:xfrm>
          <a:off x="119060" y="13974025"/>
          <a:ext cx="6177851" cy="5683250"/>
          <a:chOff x="9398000" y="10572750"/>
          <a:chExt cx="6400000" cy="5695562"/>
        </a:xfrm>
      </xdr:grpSpPr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398000" y="10572750"/>
            <a:ext cx="6400000" cy="257142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398000" y="13144503"/>
            <a:ext cx="6390476" cy="312380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</xdr:grpSp>
    <xdr:clientData/>
  </xdr:twoCellAnchor>
  <xdr:twoCellAnchor editAs="oneCell">
    <xdr:from>
      <xdr:col>0</xdr:col>
      <xdr:colOff>119060</xdr:colOff>
      <xdr:row>127</xdr:row>
      <xdr:rowOff>30787</xdr:rowOff>
    </xdr:from>
    <xdr:to>
      <xdr:col>8</xdr:col>
      <xdr:colOff>669224</xdr:colOff>
      <xdr:row>152</xdr:row>
      <xdr:rowOff>139852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060" y="24236193"/>
          <a:ext cx="6455664" cy="487156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119060</xdr:colOff>
      <xdr:row>171</xdr:row>
      <xdr:rowOff>31684</xdr:rowOff>
    </xdr:from>
    <xdr:to>
      <xdr:col>8</xdr:col>
      <xdr:colOff>669224</xdr:colOff>
      <xdr:row>210</xdr:row>
      <xdr:rowOff>41943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9060" y="32619090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119060</xdr:colOff>
      <xdr:row>245</xdr:row>
      <xdr:rowOff>52831</xdr:rowOff>
    </xdr:from>
    <xdr:to>
      <xdr:col>8</xdr:col>
      <xdr:colOff>669224</xdr:colOff>
      <xdr:row>284</xdr:row>
      <xdr:rowOff>63090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9060" y="46737237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119060</xdr:colOff>
      <xdr:row>319</xdr:row>
      <xdr:rowOff>38260</xdr:rowOff>
    </xdr:from>
    <xdr:to>
      <xdr:col>8</xdr:col>
      <xdr:colOff>669224</xdr:colOff>
      <xdr:row>358</xdr:row>
      <xdr:rowOff>48519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9060" y="60819666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112060</xdr:colOff>
      <xdr:row>1</xdr:row>
      <xdr:rowOff>0</xdr:rowOff>
    </xdr:from>
    <xdr:to>
      <xdr:col>9</xdr:col>
      <xdr:colOff>11660</xdr:colOff>
      <xdr:row>13</xdr:row>
      <xdr:rowOff>103652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0" t="2488" r="676" b="2972"/>
        <a:stretch/>
      </xdr:blipFill>
      <xdr:spPr>
        <a:xfrm>
          <a:off x="112060" y="201706"/>
          <a:ext cx="6455041" cy="2456887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112060</xdr:colOff>
      <xdr:row>14</xdr:row>
      <xdr:rowOff>102659</xdr:rowOff>
    </xdr:from>
    <xdr:to>
      <xdr:col>9</xdr:col>
      <xdr:colOff>11660</xdr:colOff>
      <xdr:row>25</xdr:row>
      <xdr:rowOff>175354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80" t="2437" r="1459"/>
        <a:stretch/>
      </xdr:blipFill>
      <xdr:spPr>
        <a:xfrm>
          <a:off x="112060" y="2848100"/>
          <a:ext cx="6455041" cy="216819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112060</xdr:colOff>
      <xdr:row>26</xdr:row>
      <xdr:rowOff>174361</xdr:rowOff>
    </xdr:from>
    <xdr:to>
      <xdr:col>9</xdr:col>
      <xdr:colOff>11660</xdr:colOff>
      <xdr:row>55</xdr:row>
      <xdr:rowOff>12963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060" y="5205802"/>
          <a:ext cx="6455041" cy="536310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>
    <xdr:from>
      <xdr:col>0</xdr:col>
      <xdr:colOff>112060</xdr:colOff>
      <xdr:row>56</xdr:row>
      <xdr:rowOff>11970</xdr:rowOff>
    </xdr:from>
    <xdr:to>
      <xdr:col>9</xdr:col>
      <xdr:colOff>57106</xdr:colOff>
      <xdr:row>85</xdr:row>
      <xdr:rowOff>170720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pSpPr/>
      </xdr:nvGrpSpPr>
      <xdr:grpSpPr>
        <a:xfrm>
          <a:off x="112060" y="10963852"/>
          <a:ext cx="7475399" cy="5791574"/>
          <a:chOff x="9398000" y="10572750"/>
          <a:chExt cx="6400000" cy="5695562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398000" y="10572750"/>
            <a:ext cx="6400000" cy="257142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398000" y="13144503"/>
            <a:ext cx="6390476" cy="312380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</xdr:grpSp>
    <xdr:clientData/>
  </xdr:twoCellAnchor>
  <xdr:twoCellAnchor editAs="oneCell">
    <xdr:from>
      <xdr:col>0</xdr:col>
      <xdr:colOff>0</xdr:colOff>
      <xdr:row>86</xdr:row>
      <xdr:rowOff>169727</xdr:rowOff>
    </xdr:from>
    <xdr:to>
      <xdr:col>8</xdr:col>
      <xdr:colOff>627982</xdr:colOff>
      <xdr:row>112</xdr:row>
      <xdr:rowOff>88292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6626810"/>
          <a:ext cx="6455664" cy="487156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112060</xdr:colOff>
      <xdr:row>113</xdr:row>
      <xdr:rowOff>87299</xdr:rowOff>
    </xdr:from>
    <xdr:to>
      <xdr:col>9</xdr:col>
      <xdr:colOff>11660</xdr:colOff>
      <xdr:row>152</xdr:row>
      <xdr:rowOff>97558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060" y="21692240"/>
          <a:ext cx="6455041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112060</xdr:colOff>
      <xdr:row>153</xdr:row>
      <xdr:rowOff>96565</xdr:rowOff>
    </xdr:from>
    <xdr:to>
      <xdr:col>9</xdr:col>
      <xdr:colOff>11660</xdr:colOff>
      <xdr:row>192</xdr:row>
      <xdr:rowOff>106824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060" y="29321506"/>
          <a:ext cx="6455041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112060</xdr:colOff>
      <xdr:row>193</xdr:row>
      <xdr:rowOff>105834</xdr:rowOff>
    </xdr:from>
    <xdr:to>
      <xdr:col>9</xdr:col>
      <xdr:colOff>11660</xdr:colOff>
      <xdr:row>232</xdr:row>
      <xdr:rowOff>116093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060" y="36950775"/>
          <a:ext cx="6455041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0</xdr:rowOff>
    </xdr:from>
    <xdr:to>
      <xdr:col>8</xdr:col>
      <xdr:colOff>804161</xdr:colOff>
      <xdr:row>13</xdr:row>
      <xdr:rowOff>167152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0" t="2488" r="676" b="2972"/>
        <a:stretch/>
      </xdr:blipFill>
      <xdr:spPr>
        <a:xfrm>
          <a:off x="105830" y="201083"/>
          <a:ext cx="6455664" cy="245315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105830</xdr:colOff>
      <xdr:row>14</xdr:row>
      <xdr:rowOff>166159</xdr:rowOff>
    </xdr:from>
    <xdr:to>
      <xdr:col>8</xdr:col>
      <xdr:colOff>804161</xdr:colOff>
      <xdr:row>26</xdr:row>
      <xdr:rowOff>48354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80" t="2437" r="1459"/>
        <a:stretch/>
      </xdr:blipFill>
      <xdr:spPr>
        <a:xfrm>
          <a:off x="105830" y="2843742"/>
          <a:ext cx="6455664" cy="216819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105830</xdr:colOff>
      <xdr:row>27</xdr:row>
      <xdr:rowOff>47361</xdr:rowOff>
    </xdr:from>
    <xdr:to>
      <xdr:col>8</xdr:col>
      <xdr:colOff>804161</xdr:colOff>
      <xdr:row>55</xdr:row>
      <xdr:rowOff>76463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830" y="5201444"/>
          <a:ext cx="6455664" cy="5363102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>
    <xdr:from>
      <xdr:col>0</xdr:col>
      <xdr:colOff>105830</xdr:colOff>
      <xdr:row>56</xdr:row>
      <xdr:rowOff>75470</xdr:rowOff>
    </xdr:from>
    <xdr:to>
      <xdr:col>9</xdr:col>
      <xdr:colOff>84494</xdr:colOff>
      <xdr:row>86</xdr:row>
      <xdr:rowOff>43720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pSpPr/>
      </xdr:nvGrpSpPr>
      <xdr:grpSpPr>
        <a:xfrm>
          <a:off x="105830" y="11138581"/>
          <a:ext cx="7485775" cy="5894917"/>
          <a:chOff x="9398000" y="10572750"/>
          <a:chExt cx="6400000" cy="5695562"/>
        </a:xfrm>
      </xdr:grpSpPr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398000" y="10572750"/>
            <a:ext cx="6400000" cy="257142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398000" y="13144503"/>
            <a:ext cx="6390476" cy="3123809"/>
          </a:xfrm>
          <a:prstGeom prst="rect">
            <a:avLst/>
          </a:prstGeom>
          <a:ln>
            <a:solidFill>
              <a:schemeClr val="accent1">
                <a:lumMod val="50000"/>
              </a:schemeClr>
            </a:solidFill>
          </a:ln>
        </xdr:spPr>
      </xdr:pic>
    </xdr:grpSp>
    <xdr:clientData/>
  </xdr:twoCellAnchor>
  <xdr:twoCellAnchor editAs="oneCell">
    <xdr:from>
      <xdr:col>0</xdr:col>
      <xdr:colOff>105830</xdr:colOff>
      <xdr:row>87</xdr:row>
      <xdr:rowOff>42727</xdr:rowOff>
    </xdr:from>
    <xdr:to>
      <xdr:col>8</xdr:col>
      <xdr:colOff>804161</xdr:colOff>
      <xdr:row>112</xdr:row>
      <xdr:rowOff>151792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830" y="16626810"/>
          <a:ext cx="6455664" cy="4871565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105830</xdr:colOff>
      <xdr:row>113</xdr:row>
      <xdr:rowOff>150799</xdr:rowOff>
    </xdr:from>
    <xdr:to>
      <xdr:col>8</xdr:col>
      <xdr:colOff>804161</xdr:colOff>
      <xdr:row>152</xdr:row>
      <xdr:rowOff>161058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30" y="21687882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105830</xdr:colOff>
      <xdr:row>153</xdr:row>
      <xdr:rowOff>160065</xdr:rowOff>
    </xdr:from>
    <xdr:to>
      <xdr:col>8</xdr:col>
      <xdr:colOff>804161</xdr:colOff>
      <xdr:row>192</xdr:row>
      <xdr:rowOff>170324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30" y="29317148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105830</xdr:colOff>
      <xdr:row>193</xdr:row>
      <xdr:rowOff>169334</xdr:rowOff>
    </xdr:from>
    <xdr:to>
      <xdr:col>8</xdr:col>
      <xdr:colOff>804161</xdr:colOff>
      <xdr:row>232</xdr:row>
      <xdr:rowOff>179593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830" y="36946417"/>
          <a:ext cx="6455664" cy="7439759"/>
        </a:xfrm>
        <a:prstGeom prst="rect">
          <a:avLst/>
        </a:prstGeom>
        <a:ln>
          <a:solidFill>
            <a:schemeClr val="accent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220"/>
  <sheetViews>
    <sheetView topLeftCell="A112" zoomScale="85" zoomScaleNormal="85" workbookViewId="0">
      <selection activeCell="R12" sqref="R12"/>
    </sheetView>
  </sheetViews>
  <sheetFormatPr baseColWidth="10" defaultColWidth="8.83203125" defaultRowHeight="15" x14ac:dyDescent="0.2"/>
  <cols>
    <col min="1" max="1" width="10.6640625" style="2" customWidth="1"/>
    <col min="2" max="2" width="10.6640625" style="3" customWidth="1"/>
    <col min="3" max="3" width="10.6640625" style="4" customWidth="1"/>
    <col min="4" max="10" width="10.6640625" customWidth="1"/>
    <col min="11" max="11" width="4.83203125" bestFit="1" customWidth="1"/>
    <col min="12" max="12" width="20" bestFit="1" customWidth="1"/>
    <col min="14" max="14" width="9.1640625" style="20"/>
  </cols>
  <sheetData>
    <row r="1" spans="1:13" ht="16" x14ac:dyDescent="0.2">
      <c r="M1" s="26" t="s">
        <v>41</v>
      </c>
    </row>
    <row r="2" spans="1:13" x14ac:dyDescent="0.2">
      <c r="K2" s="2">
        <v>13</v>
      </c>
      <c r="L2" s="3" t="s">
        <v>42</v>
      </c>
      <c r="M2" s="4">
        <f>2.6+1.8</f>
        <v>4.4000000000000004</v>
      </c>
    </row>
    <row r="3" spans="1:13" x14ac:dyDescent="0.2">
      <c r="K3" s="5"/>
      <c r="L3" s="6" t="s">
        <v>43</v>
      </c>
      <c r="M3" s="7">
        <v>3.1</v>
      </c>
    </row>
    <row r="4" spans="1:13" x14ac:dyDescent="0.2">
      <c r="K4" s="2">
        <v>14</v>
      </c>
      <c r="L4" s="3" t="s">
        <v>42</v>
      </c>
      <c r="M4" s="4">
        <f>5.5+2.1</f>
        <v>7.6</v>
      </c>
    </row>
    <row r="5" spans="1:13" x14ac:dyDescent="0.2">
      <c r="K5" s="5"/>
      <c r="L5" s="6" t="s">
        <v>43</v>
      </c>
      <c r="M5" s="7">
        <f>20.3+9.4</f>
        <v>29.700000000000003</v>
      </c>
    </row>
    <row r="6" spans="1:13" x14ac:dyDescent="0.2">
      <c r="A6" s="14"/>
      <c r="B6" s="8"/>
      <c r="C6" s="9"/>
    </row>
    <row r="7" spans="1:13" x14ac:dyDescent="0.2">
      <c r="A7" s="14"/>
      <c r="B7" s="8"/>
      <c r="C7" s="9"/>
    </row>
    <row r="8" spans="1:13" x14ac:dyDescent="0.2">
      <c r="A8" s="14"/>
      <c r="B8" s="8"/>
      <c r="C8" s="9"/>
    </row>
    <row r="9" spans="1:13" x14ac:dyDescent="0.2">
      <c r="A9" s="14"/>
      <c r="B9" s="8"/>
      <c r="C9" s="9"/>
    </row>
    <row r="10" spans="1:13" x14ac:dyDescent="0.2">
      <c r="A10" s="14"/>
      <c r="B10" s="8"/>
      <c r="C10" s="9"/>
    </row>
    <row r="16" spans="1:13" x14ac:dyDescent="0.2">
      <c r="K16" s="2" t="s">
        <v>0</v>
      </c>
      <c r="L16" s="3" t="s">
        <v>42</v>
      </c>
      <c r="M16" s="4">
        <v>23.1</v>
      </c>
    </row>
    <row r="17" spans="1:13" x14ac:dyDescent="0.2">
      <c r="A17" s="14"/>
      <c r="B17" s="8"/>
      <c r="C17" s="9"/>
      <c r="K17" s="5"/>
      <c r="L17" s="6" t="s">
        <v>43</v>
      </c>
      <c r="M17" s="7">
        <v>27.4</v>
      </c>
    </row>
    <row r="18" spans="1:13" x14ac:dyDescent="0.2">
      <c r="A18" s="14"/>
      <c r="B18" s="8"/>
      <c r="C18" s="9"/>
      <c r="K18" s="2">
        <v>20</v>
      </c>
      <c r="L18" s="3" t="s">
        <v>42</v>
      </c>
      <c r="M18" s="4">
        <v>22.9</v>
      </c>
    </row>
    <row r="19" spans="1:13" x14ac:dyDescent="0.2">
      <c r="A19" s="14"/>
      <c r="B19" s="8"/>
      <c r="C19" s="9"/>
      <c r="K19" s="5"/>
      <c r="L19" s="6" t="s">
        <v>43</v>
      </c>
      <c r="M19" s="7">
        <v>35</v>
      </c>
    </row>
    <row r="28" spans="1:13" x14ac:dyDescent="0.2">
      <c r="K28" s="2" t="s">
        <v>1</v>
      </c>
      <c r="L28" s="3" t="s">
        <v>42</v>
      </c>
      <c r="M28" s="4">
        <f>3.1+23</f>
        <v>26.1</v>
      </c>
    </row>
    <row r="29" spans="1:13" x14ac:dyDescent="0.2">
      <c r="K29" s="5"/>
      <c r="L29" s="6" t="s">
        <v>43</v>
      </c>
      <c r="M29" s="7">
        <f>2.8+17.8</f>
        <v>20.6</v>
      </c>
    </row>
    <row r="30" spans="1:13" x14ac:dyDescent="0.2">
      <c r="K30" s="2" t="s">
        <v>2</v>
      </c>
      <c r="L30" s="3" t="s">
        <v>42</v>
      </c>
      <c r="M30" s="4">
        <f>6.7+18.5</f>
        <v>25.2</v>
      </c>
    </row>
    <row r="31" spans="1:13" x14ac:dyDescent="0.2">
      <c r="K31" s="5"/>
      <c r="L31" s="6" t="s">
        <v>43</v>
      </c>
      <c r="M31" s="7">
        <f>0.3+18.5</f>
        <v>18.8</v>
      </c>
    </row>
    <row r="32" spans="1:13" x14ac:dyDescent="0.2">
      <c r="K32" s="2" t="s">
        <v>3</v>
      </c>
      <c r="L32" s="3" t="s">
        <v>42</v>
      </c>
      <c r="M32" s="4">
        <f>17.6+27.2</f>
        <v>44.8</v>
      </c>
    </row>
    <row r="33" spans="11:13" x14ac:dyDescent="0.2">
      <c r="K33" s="5"/>
      <c r="L33" s="6" t="s">
        <v>43</v>
      </c>
      <c r="M33" s="7">
        <f>3.6+18.5</f>
        <v>22.1</v>
      </c>
    </row>
    <row r="34" spans="11:13" x14ac:dyDescent="0.2">
      <c r="K34" s="2" t="s">
        <v>4</v>
      </c>
      <c r="L34" s="3" t="s">
        <v>42</v>
      </c>
      <c r="M34" s="4">
        <f>34.7+36.2</f>
        <v>70.900000000000006</v>
      </c>
    </row>
    <row r="35" spans="11:13" x14ac:dyDescent="0.2">
      <c r="K35" s="5"/>
      <c r="L35" s="6" t="s">
        <v>43</v>
      </c>
      <c r="M35" s="7">
        <f>41.8+36.3</f>
        <v>78.099999999999994</v>
      </c>
    </row>
    <row r="36" spans="11:13" x14ac:dyDescent="0.2">
      <c r="K36" s="2" t="s">
        <v>5</v>
      </c>
      <c r="L36" s="3" t="s">
        <v>42</v>
      </c>
      <c r="M36" s="4">
        <f>23.4+38.2</f>
        <v>61.6</v>
      </c>
    </row>
    <row r="37" spans="11:13" x14ac:dyDescent="0.2">
      <c r="K37" s="5"/>
      <c r="L37" s="6" t="s">
        <v>43</v>
      </c>
      <c r="M37" s="7">
        <f>15.9+42</f>
        <v>57.9</v>
      </c>
    </row>
    <row r="38" spans="11:13" x14ac:dyDescent="0.2">
      <c r="K38" s="2" t="s">
        <v>6</v>
      </c>
      <c r="L38" s="3" t="s">
        <v>42</v>
      </c>
      <c r="M38" s="4">
        <f>22+30.7</f>
        <v>52.7</v>
      </c>
    </row>
    <row r="39" spans="11:13" x14ac:dyDescent="0.2">
      <c r="K39" s="5"/>
      <c r="L39" s="6" t="s">
        <v>43</v>
      </c>
      <c r="M39" s="7">
        <f>28.9+30.5</f>
        <v>59.4</v>
      </c>
    </row>
    <row r="40" spans="11:13" x14ac:dyDescent="0.2">
      <c r="K40" s="2">
        <v>21</v>
      </c>
      <c r="L40" s="3" t="s">
        <v>42</v>
      </c>
      <c r="M40" s="4">
        <v>50</v>
      </c>
    </row>
    <row r="41" spans="11:13" x14ac:dyDescent="0.2">
      <c r="K41" s="5"/>
      <c r="L41" s="6" t="s">
        <v>43</v>
      </c>
      <c r="M41" s="7">
        <v>42.1</v>
      </c>
    </row>
    <row r="42" spans="11:13" x14ac:dyDescent="0.2">
      <c r="K42" s="2">
        <v>22</v>
      </c>
      <c r="L42" s="3" t="s">
        <v>42</v>
      </c>
      <c r="M42" s="4">
        <f>9.7+9.7+0.3+0.1</f>
        <v>19.8</v>
      </c>
    </row>
    <row r="43" spans="11:13" x14ac:dyDescent="0.2">
      <c r="K43" s="5"/>
      <c r="L43" s="6" t="s">
        <v>43</v>
      </c>
      <c r="M43" s="7">
        <f>9.1+14.1+0.2</f>
        <v>23.4</v>
      </c>
    </row>
    <row r="44" spans="11:13" x14ac:dyDescent="0.2">
      <c r="K44" s="14"/>
      <c r="L44" s="8"/>
      <c r="M44" s="9"/>
    </row>
    <row r="57" spans="11:13" x14ac:dyDescent="0.2">
      <c r="K57" s="2" t="s">
        <v>7</v>
      </c>
      <c r="L57" s="3" t="s">
        <v>42</v>
      </c>
      <c r="M57" s="4">
        <f>1.9+47</f>
        <v>48.9</v>
      </c>
    </row>
    <row r="58" spans="11:13" x14ac:dyDescent="0.2">
      <c r="K58" s="2"/>
      <c r="L58" s="6" t="s">
        <v>43</v>
      </c>
      <c r="M58" s="7">
        <v>29.7</v>
      </c>
    </row>
    <row r="59" spans="11:13" x14ac:dyDescent="0.2">
      <c r="K59" s="2" t="s">
        <v>8</v>
      </c>
      <c r="L59" s="3" t="s">
        <v>42</v>
      </c>
      <c r="M59" s="4">
        <v>25</v>
      </c>
    </row>
    <row r="60" spans="11:13" x14ac:dyDescent="0.2">
      <c r="K60" s="2"/>
      <c r="L60" s="6" t="s">
        <v>43</v>
      </c>
      <c r="M60" s="7">
        <v>39.1</v>
      </c>
    </row>
    <row r="61" spans="11:13" x14ac:dyDescent="0.2">
      <c r="K61" s="2" t="s">
        <v>9</v>
      </c>
      <c r="L61" s="3" t="s">
        <v>42</v>
      </c>
      <c r="M61" s="4">
        <f>84+10.3</f>
        <v>94.3</v>
      </c>
    </row>
    <row r="62" spans="11:13" x14ac:dyDescent="0.2">
      <c r="K62" s="2"/>
      <c r="L62" s="6" t="s">
        <v>43</v>
      </c>
      <c r="M62" s="7">
        <f>90.6+6.6</f>
        <v>97.199999999999989</v>
      </c>
    </row>
    <row r="63" spans="11:13" x14ac:dyDescent="0.2">
      <c r="K63" s="2" t="s">
        <v>10</v>
      </c>
      <c r="L63" s="3" t="s">
        <v>42</v>
      </c>
      <c r="M63" s="4">
        <v>5.7</v>
      </c>
    </row>
    <row r="64" spans="11:13" x14ac:dyDescent="0.2">
      <c r="K64" s="2"/>
      <c r="L64" s="6" t="s">
        <v>43</v>
      </c>
      <c r="M64" s="7">
        <v>42.2</v>
      </c>
    </row>
    <row r="65" spans="11:13" x14ac:dyDescent="0.2">
      <c r="K65" s="2" t="s">
        <v>11</v>
      </c>
      <c r="L65" s="3" t="s">
        <v>42</v>
      </c>
      <c r="M65" s="4">
        <f>13.3+8.4+0.2+3.6</f>
        <v>25.500000000000004</v>
      </c>
    </row>
    <row r="66" spans="11:13" x14ac:dyDescent="0.2">
      <c r="K66" s="2"/>
      <c r="L66" s="6" t="s">
        <v>43</v>
      </c>
      <c r="M66" s="7">
        <f>20.1+2.9+0.6+5.8</f>
        <v>29.400000000000002</v>
      </c>
    </row>
    <row r="67" spans="11:13" x14ac:dyDescent="0.2">
      <c r="K67" s="2" t="s">
        <v>12</v>
      </c>
      <c r="L67" s="3" t="s">
        <v>42</v>
      </c>
      <c r="M67" s="4">
        <f>20.5+23.5</f>
        <v>44</v>
      </c>
    </row>
    <row r="68" spans="11:13" x14ac:dyDescent="0.2">
      <c r="K68" s="2"/>
      <c r="L68" s="6" t="s">
        <v>43</v>
      </c>
      <c r="M68" s="7">
        <f>29.3+15.4</f>
        <v>44.7</v>
      </c>
    </row>
    <row r="69" spans="11:13" x14ac:dyDescent="0.2">
      <c r="K69" s="2" t="s">
        <v>13</v>
      </c>
      <c r="L69" s="3" t="s">
        <v>42</v>
      </c>
      <c r="M69" s="4">
        <f>14.4+11.9</f>
        <v>26.3</v>
      </c>
    </row>
    <row r="70" spans="11:13" x14ac:dyDescent="0.2">
      <c r="K70" s="2"/>
      <c r="L70" s="6" t="s">
        <v>43</v>
      </c>
      <c r="M70" s="7">
        <f>23.2+26.3</f>
        <v>49.5</v>
      </c>
    </row>
    <row r="71" spans="11:13" x14ac:dyDescent="0.2">
      <c r="K71" s="2" t="s">
        <v>14</v>
      </c>
      <c r="L71" s="3" t="s">
        <v>42</v>
      </c>
      <c r="M71" s="4">
        <f>11.6+9.8</f>
        <v>21.4</v>
      </c>
    </row>
    <row r="72" spans="11:13" x14ac:dyDescent="0.2">
      <c r="K72" s="2"/>
      <c r="L72" s="6" t="s">
        <v>43</v>
      </c>
      <c r="M72" s="7">
        <f>6+11.3</f>
        <v>17.3</v>
      </c>
    </row>
    <row r="73" spans="11:13" x14ac:dyDescent="0.2">
      <c r="K73" s="2" t="s">
        <v>15</v>
      </c>
      <c r="L73" s="3" t="s">
        <v>42</v>
      </c>
      <c r="M73" s="4">
        <f>17.8+29.8</f>
        <v>47.6</v>
      </c>
    </row>
    <row r="74" spans="11:13" x14ac:dyDescent="0.2">
      <c r="K74" s="2"/>
      <c r="L74" s="6" t="s">
        <v>43</v>
      </c>
      <c r="M74" s="7">
        <f>17.8+35</f>
        <v>52.8</v>
      </c>
    </row>
    <row r="75" spans="11:13" x14ac:dyDescent="0.2">
      <c r="K75" s="2" t="s">
        <v>16</v>
      </c>
      <c r="L75" s="3" t="s">
        <v>42</v>
      </c>
      <c r="M75" s="4">
        <f>19.8+37.5</f>
        <v>57.3</v>
      </c>
    </row>
    <row r="76" spans="11:13" x14ac:dyDescent="0.2">
      <c r="K76" s="2"/>
      <c r="L76" s="6" t="s">
        <v>43</v>
      </c>
      <c r="M76" s="7">
        <f>12.5+28.2</f>
        <v>40.700000000000003</v>
      </c>
    </row>
    <row r="80" spans="11:13" ht="11.25" customHeight="1" x14ac:dyDescent="0.2"/>
    <row r="89" spans="11:13" x14ac:dyDescent="0.2">
      <c r="K89" s="2" t="s">
        <v>17</v>
      </c>
      <c r="L89" s="3" t="s">
        <v>42</v>
      </c>
      <c r="M89" s="4">
        <v>40.200000000000003</v>
      </c>
    </row>
    <row r="90" spans="11:13" x14ac:dyDescent="0.2">
      <c r="K90" s="2"/>
      <c r="L90" s="6" t="s">
        <v>43</v>
      </c>
      <c r="M90" s="7">
        <v>36.5</v>
      </c>
    </row>
    <row r="91" spans="11:13" x14ac:dyDescent="0.2">
      <c r="K91" s="2" t="s">
        <v>18</v>
      </c>
      <c r="L91" s="3" t="s">
        <v>42</v>
      </c>
      <c r="M91" s="4">
        <v>37.200000000000003</v>
      </c>
    </row>
    <row r="92" spans="11:13" x14ac:dyDescent="0.2">
      <c r="K92" s="2"/>
      <c r="L92" s="6" t="s">
        <v>43</v>
      </c>
      <c r="M92" s="7">
        <v>17.2</v>
      </c>
    </row>
    <row r="93" spans="11:13" x14ac:dyDescent="0.2">
      <c r="K93" s="2" t="s">
        <v>19</v>
      </c>
      <c r="L93" s="3" t="s">
        <v>42</v>
      </c>
      <c r="M93" s="4">
        <v>4</v>
      </c>
    </row>
    <row r="94" spans="11:13" x14ac:dyDescent="0.2">
      <c r="K94" s="2"/>
      <c r="L94" s="6" t="s">
        <v>43</v>
      </c>
      <c r="M94" s="7">
        <v>8.9</v>
      </c>
    </row>
    <row r="95" spans="11:13" x14ac:dyDescent="0.2">
      <c r="K95" s="2" t="s">
        <v>20</v>
      </c>
      <c r="L95" s="3" t="s">
        <v>42</v>
      </c>
      <c r="M95" s="4">
        <v>8</v>
      </c>
    </row>
    <row r="96" spans="11:13" x14ac:dyDescent="0.2">
      <c r="K96" s="2"/>
      <c r="L96" s="6" t="s">
        <v>43</v>
      </c>
      <c r="M96" s="7">
        <v>44</v>
      </c>
    </row>
    <row r="97" spans="11:13" x14ac:dyDescent="0.2">
      <c r="K97" s="2" t="s">
        <v>21</v>
      </c>
      <c r="L97" s="3" t="s">
        <v>42</v>
      </c>
      <c r="M97" s="4">
        <v>22.6</v>
      </c>
    </row>
    <row r="98" spans="11:13" x14ac:dyDescent="0.2">
      <c r="K98" s="2"/>
      <c r="L98" s="6" t="s">
        <v>43</v>
      </c>
      <c r="M98" s="7">
        <v>22.9</v>
      </c>
    </row>
    <row r="99" spans="11:13" x14ac:dyDescent="0.2">
      <c r="K99" s="2" t="s">
        <v>22</v>
      </c>
      <c r="L99" s="3" t="s">
        <v>42</v>
      </c>
      <c r="M99" s="4">
        <v>8</v>
      </c>
    </row>
    <row r="100" spans="11:13" x14ac:dyDescent="0.2">
      <c r="K100" s="2"/>
      <c r="L100" s="6" t="s">
        <v>43</v>
      </c>
      <c r="M100" s="7">
        <v>1</v>
      </c>
    </row>
    <row r="101" spans="11:13" x14ac:dyDescent="0.2">
      <c r="K101" s="2" t="s">
        <v>23</v>
      </c>
      <c r="L101" s="3" t="s">
        <v>42</v>
      </c>
      <c r="M101" s="4">
        <v>4.0999999999999996</v>
      </c>
    </row>
    <row r="102" spans="11:13" x14ac:dyDescent="0.2">
      <c r="K102" s="2"/>
      <c r="L102" s="6" t="s">
        <v>43</v>
      </c>
      <c r="M102" s="7">
        <v>7.4</v>
      </c>
    </row>
    <row r="103" spans="11:13" x14ac:dyDescent="0.2">
      <c r="K103" s="2" t="s">
        <v>24</v>
      </c>
      <c r="L103" s="3" t="s">
        <v>42</v>
      </c>
      <c r="M103" s="4">
        <v>5.0999999999999996</v>
      </c>
    </row>
    <row r="104" spans="11:13" x14ac:dyDescent="0.2">
      <c r="K104" s="2"/>
      <c r="L104" s="6" t="s">
        <v>43</v>
      </c>
      <c r="M104" s="7">
        <v>6</v>
      </c>
    </row>
    <row r="109" spans="11:13" ht="10.5" customHeight="1" x14ac:dyDescent="0.2"/>
    <row r="115" spans="11:14" x14ac:dyDescent="0.2">
      <c r="K115" s="2" t="s">
        <v>26</v>
      </c>
      <c r="L115" s="3" t="s">
        <v>42</v>
      </c>
      <c r="M115" s="4">
        <v>10.9</v>
      </c>
      <c r="N115" s="10" t="s">
        <v>25</v>
      </c>
    </row>
    <row r="116" spans="11:14" x14ac:dyDescent="0.2">
      <c r="K116" s="2"/>
      <c r="L116" s="6" t="s">
        <v>43</v>
      </c>
      <c r="M116" s="7">
        <v>14.3</v>
      </c>
    </row>
    <row r="117" spans="11:14" x14ac:dyDescent="0.2">
      <c r="K117" s="2" t="s">
        <v>27</v>
      </c>
      <c r="L117" s="3" t="s">
        <v>42</v>
      </c>
      <c r="M117" s="4">
        <v>59.8</v>
      </c>
    </row>
    <row r="118" spans="11:14" x14ac:dyDescent="0.2">
      <c r="K118" s="2"/>
      <c r="L118" s="6" t="s">
        <v>43</v>
      </c>
      <c r="M118" s="7">
        <v>68.7</v>
      </c>
    </row>
    <row r="119" spans="11:14" x14ac:dyDescent="0.2">
      <c r="K119" s="2" t="s">
        <v>28</v>
      </c>
      <c r="L119" s="3" t="s">
        <v>42</v>
      </c>
      <c r="M119" s="4">
        <v>91.5</v>
      </c>
    </row>
    <row r="120" spans="11:14" x14ac:dyDescent="0.2">
      <c r="K120" s="2"/>
      <c r="L120" s="6" t="s">
        <v>43</v>
      </c>
      <c r="M120" s="7">
        <v>96.8</v>
      </c>
    </row>
    <row r="121" spans="11:14" x14ac:dyDescent="0.2">
      <c r="K121" s="2" t="s">
        <v>29</v>
      </c>
      <c r="L121" s="3" t="s">
        <v>42</v>
      </c>
      <c r="M121" s="4">
        <v>61.9</v>
      </c>
    </row>
    <row r="122" spans="11:14" x14ac:dyDescent="0.2">
      <c r="K122" s="2"/>
      <c r="L122" s="6" t="s">
        <v>43</v>
      </c>
      <c r="M122" s="7">
        <v>68.8</v>
      </c>
    </row>
    <row r="123" spans="11:14" x14ac:dyDescent="0.2">
      <c r="K123" s="2" t="s">
        <v>30</v>
      </c>
      <c r="L123" s="3" t="s">
        <v>42</v>
      </c>
      <c r="M123" s="4">
        <v>55.9</v>
      </c>
    </row>
    <row r="124" spans="11:14" x14ac:dyDescent="0.2">
      <c r="K124" s="2"/>
      <c r="L124" s="6" t="s">
        <v>43</v>
      </c>
      <c r="M124" s="7">
        <v>56.9</v>
      </c>
    </row>
    <row r="125" spans="11:14" x14ac:dyDescent="0.2">
      <c r="K125" s="2" t="s">
        <v>31</v>
      </c>
      <c r="L125" s="3" t="s">
        <v>42</v>
      </c>
      <c r="M125" s="4">
        <f>0.3+1.2+1</f>
        <v>2.5</v>
      </c>
    </row>
    <row r="126" spans="11:14" x14ac:dyDescent="0.2">
      <c r="K126" s="2"/>
      <c r="L126" s="6" t="s">
        <v>43</v>
      </c>
      <c r="M126" s="7">
        <v>0.2</v>
      </c>
    </row>
    <row r="127" spans="11:14" x14ac:dyDescent="0.2">
      <c r="K127" s="2" t="s">
        <v>32</v>
      </c>
      <c r="L127" s="3" t="s">
        <v>42</v>
      </c>
      <c r="M127" s="4">
        <v>48.4</v>
      </c>
    </row>
    <row r="128" spans="11:14" x14ac:dyDescent="0.2">
      <c r="K128" s="2"/>
      <c r="L128" s="6" t="s">
        <v>43</v>
      </c>
      <c r="M128" s="7">
        <v>64.2</v>
      </c>
    </row>
    <row r="129" spans="11:13" x14ac:dyDescent="0.2">
      <c r="K129" s="2" t="s">
        <v>33</v>
      </c>
      <c r="L129" s="3" t="s">
        <v>42</v>
      </c>
      <c r="M129" s="4">
        <v>30.3</v>
      </c>
    </row>
    <row r="130" spans="11:13" x14ac:dyDescent="0.2">
      <c r="K130" s="2"/>
      <c r="L130" s="6" t="s">
        <v>43</v>
      </c>
      <c r="M130" s="7">
        <v>56.8</v>
      </c>
    </row>
    <row r="131" spans="11:13" x14ac:dyDescent="0.2">
      <c r="K131" s="2" t="s">
        <v>34</v>
      </c>
      <c r="L131" s="3" t="s">
        <v>42</v>
      </c>
      <c r="M131" s="4">
        <v>76.5</v>
      </c>
    </row>
    <row r="132" spans="11:13" x14ac:dyDescent="0.2">
      <c r="K132" s="2"/>
      <c r="L132" s="6" t="s">
        <v>43</v>
      </c>
      <c r="M132" s="7">
        <v>84.7</v>
      </c>
    </row>
    <row r="133" spans="11:13" x14ac:dyDescent="0.2">
      <c r="K133" s="2" t="s">
        <v>35</v>
      </c>
      <c r="L133" s="3" t="s">
        <v>42</v>
      </c>
      <c r="M133" s="4">
        <v>53.4</v>
      </c>
    </row>
    <row r="134" spans="11:13" x14ac:dyDescent="0.2">
      <c r="K134" s="2"/>
      <c r="L134" s="6" t="s">
        <v>43</v>
      </c>
      <c r="M134" s="7">
        <v>54.1</v>
      </c>
    </row>
    <row r="135" spans="11:13" x14ac:dyDescent="0.2">
      <c r="K135" s="2" t="s">
        <v>36</v>
      </c>
      <c r="L135" s="3" t="s">
        <v>42</v>
      </c>
      <c r="M135" s="4">
        <v>17.100000000000001</v>
      </c>
    </row>
    <row r="136" spans="11:13" x14ac:dyDescent="0.2">
      <c r="K136" s="2"/>
      <c r="L136" s="6" t="s">
        <v>43</v>
      </c>
      <c r="M136" s="7">
        <v>39.299999999999997</v>
      </c>
    </row>
    <row r="137" spans="11:13" x14ac:dyDescent="0.2">
      <c r="K137" s="2" t="s">
        <v>37</v>
      </c>
      <c r="L137" s="3" t="s">
        <v>42</v>
      </c>
      <c r="M137" s="4">
        <f>5.8+4.8+4.7</f>
        <v>15.3</v>
      </c>
    </row>
    <row r="138" spans="11:13" x14ac:dyDescent="0.2">
      <c r="K138" s="2"/>
      <c r="L138" s="6" t="s">
        <v>43</v>
      </c>
      <c r="M138" s="7">
        <f>0.2+3.1+0.7</f>
        <v>4</v>
      </c>
    </row>
    <row r="139" spans="11:13" x14ac:dyDescent="0.2">
      <c r="K139" s="2" t="s">
        <v>38</v>
      </c>
      <c r="L139" s="3" t="s">
        <v>42</v>
      </c>
      <c r="M139" s="4">
        <f>1.5+6.9+2.5</f>
        <v>10.9</v>
      </c>
    </row>
    <row r="140" spans="11:13" x14ac:dyDescent="0.2">
      <c r="K140" s="2"/>
      <c r="L140" s="6" t="s">
        <v>43</v>
      </c>
      <c r="M140" s="7">
        <f>2.8+26.6+13.5</f>
        <v>42.900000000000006</v>
      </c>
    </row>
    <row r="155" spans="11:14" x14ac:dyDescent="0.2">
      <c r="K155" s="2" t="s">
        <v>26</v>
      </c>
      <c r="L155" s="3" t="s">
        <v>42</v>
      </c>
      <c r="M155" s="4">
        <v>7.1</v>
      </c>
      <c r="N155" s="10" t="s">
        <v>39</v>
      </c>
    </row>
    <row r="156" spans="11:14" x14ac:dyDescent="0.2">
      <c r="K156" s="2"/>
      <c r="L156" s="6" t="s">
        <v>43</v>
      </c>
      <c r="M156" s="7">
        <v>0.7</v>
      </c>
    </row>
    <row r="157" spans="11:14" x14ac:dyDescent="0.2">
      <c r="K157" s="2" t="s">
        <v>27</v>
      </c>
      <c r="L157" s="3" t="s">
        <v>42</v>
      </c>
      <c r="M157" s="4">
        <v>7.4</v>
      </c>
    </row>
    <row r="158" spans="11:14" x14ac:dyDescent="0.2">
      <c r="K158" s="2"/>
      <c r="L158" s="6" t="s">
        <v>43</v>
      </c>
      <c r="M158" s="7">
        <v>3.3</v>
      </c>
    </row>
    <row r="159" spans="11:14" x14ac:dyDescent="0.2">
      <c r="K159" s="2" t="s">
        <v>28</v>
      </c>
      <c r="L159" s="3" t="s">
        <v>42</v>
      </c>
      <c r="M159" s="4">
        <v>8.1999999999999993</v>
      </c>
    </row>
    <row r="160" spans="11:14" x14ac:dyDescent="0.2">
      <c r="K160" s="2"/>
      <c r="L160" s="6" t="s">
        <v>43</v>
      </c>
      <c r="M160" s="7">
        <v>3.6</v>
      </c>
    </row>
    <row r="161" spans="11:13" x14ac:dyDescent="0.2">
      <c r="K161" s="2" t="s">
        <v>29</v>
      </c>
      <c r="L161" s="3" t="s">
        <v>42</v>
      </c>
      <c r="M161" s="4">
        <v>6.2</v>
      </c>
    </row>
    <row r="162" spans="11:13" x14ac:dyDescent="0.2">
      <c r="K162" s="2"/>
      <c r="L162" s="6" t="s">
        <v>43</v>
      </c>
      <c r="M162" s="7">
        <v>9.8000000000000007</v>
      </c>
    </row>
    <row r="163" spans="11:13" x14ac:dyDescent="0.2">
      <c r="K163" s="2" t="s">
        <v>30</v>
      </c>
      <c r="L163" s="3" t="s">
        <v>42</v>
      </c>
      <c r="M163" s="4">
        <v>6.2</v>
      </c>
    </row>
    <row r="164" spans="11:13" x14ac:dyDescent="0.2">
      <c r="K164" s="2"/>
      <c r="L164" s="6" t="s">
        <v>43</v>
      </c>
      <c r="M164" s="7">
        <v>6.2</v>
      </c>
    </row>
    <row r="165" spans="11:13" x14ac:dyDescent="0.2">
      <c r="K165" s="2" t="s">
        <v>31</v>
      </c>
      <c r="L165" s="3" t="s">
        <v>42</v>
      </c>
      <c r="M165" s="4">
        <v>3.6</v>
      </c>
    </row>
    <row r="166" spans="11:13" x14ac:dyDescent="0.2">
      <c r="K166" s="2"/>
      <c r="L166" s="6" t="s">
        <v>43</v>
      </c>
      <c r="M166" s="7">
        <v>9.5</v>
      </c>
    </row>
    <row r="167" spans="11:13" x14ac:dyDescent="0.2">
      <c r="K167" s="2" t="s">
        <v>32</v>
      </c>
      <c r="L167" s="3" t="s">
        <v>42</v>
      </c>
      <c r="M167" s="4">
        <v>8.4</v>
      </c>
    </row>
    <row r="168" spans="11:13" x14ac:dyDescent="0.2">
      <c r="K168" s="2"/>
      <c r="L168" s="6" t="s">
        <v>43</v>
      </c>
      <c r="M168" s="7">
        <v>9.1999999999999993</v>
      </c>
    </row>
    <row r="169" spans="11:13" x14ac:dyDescent="0.2">
      <c r="K169" s="2" t="s">
        <v>33</v>
      </c>
      <c r="L169" s="3" t="s">
        <v>42</v>
      </c>
      <c r="M169" s="4">
        <v>3.2</v>
      </c>
    </row>
    <row r="170" spans="11:13" x14ac:dyDescent="0.2">
      <c r="K170" s="2"/>
      <c r="L170" s="6" t="s">
        <v>43</v>
      </c>
      <c r="M170" s="7">
        <v>4</v>
      </c>
    </row>
    <row r="171" spans="11:13" x14ac:dyDescent="0.2">
      <c r="K171" s="2" t="s">
        <v>34</v>
      </c>
      <c r="L171" s="3" t="s">
        <v>42</v>
      </c>
      <c r="M171" s="4">
        <v>4.3</v>
      </c>
    </row>
    <row r="172" spans="11:13" x14ac:dyDescent="0.2">
      <c r="K172" s="2"/>
      <c r="L172" s="6" t="s">
        <v>43</v>
      </c>
      <c r="M172" s="7">
        <v>9.5</v>
      </c>
    </row>
    <row r="173" spans="11:13" x14ac:dyDescent="0.2">
      <c r="K173" s="2" t="s">
        <v>35</v>
      </c>
      <c r="L173" s="3" t="s">
        <v>42</v>
      </c>
      <c r="M173" s="4">
        <v>3.8</v>
      </c>
    </row>
    <row r="174" spans="11:13" x14ac:dyDescent="0.2">
      <c r="K174" s="2"/>
      <c r="L174" s="6" t="s">
        <v>43</v>
      </c>
      <c r="M174" s="7">
        <v>7.2</v>
      </c>
    </row>
    <row r="175" spans="11:13" x14ac:dyDescent="0.2">
      <c r="K175" s="2" t="s">
        <v>36</v>
      </c>
      <c r="L175" s="3" t="s">
        <v>42</v>
      </c>
      <c r="M175" s="4">
        <v>6.2</v>
      </c>
    </row>
    <row r="176" spans="11:13" x14ac:dyDescent="0.2">
      <c r="K176" s="2"/>
      <c r="L176" s="6" t="s">
        <v>43</v>
      </c>
      <c r="M176" s="7">
        <v>3.4</v>
      </c>
    </row>
    <row r="177" spans="11:13" x14ac:dyDescent="0.2">
      <c r="K177" s="2" t="s">
        <v>37</v>
      </c>
      <c r="L177" s="3" t="s">
        <v>42</v>
      </c>
      <c r="M177" s="4">
        <v>7.2</v>
      </c>
    </row>
    <row r="178" spans="11:13" x14ac:dyDescent="0.2">
      <c r="K178" s="2"/>
      <c r="L178" s="6" t="s">
        <v>43</v>
      </c>
      <c r="M178" s="7">
        <v>9.3000000000000007</v>
      </c>
    </row>
    <row r="179" spans="11:13" x14ac:dyDescent="0.2">
      <c r="K179" s="2" t="s">
        <v>38</v>
      </c>
      <c r="L179" s="3" t="s">
        <v>42</v>
      </c>
      <c r="M179" s="4">
        <v>5.0999999999999996</v>
      </c>
    </row>
    <row r="180" spans="11:13" x14ac:dyDescent="0.2">
      <c r="K180" s="2"/>
      <c r="L180" s="6" t="s">
        <v>43</v>
      </c>
      <c r="M180" s="7">
        <v>9.3000000000000007</v>
      </c>
    </row>
    <row r="195" spans="11:14" x14ac:dyDescent="0.2">
      <c r="K195" s="2" t="s">
        <v>26</v>
      </c>
      <c r="L195" s="3" t="s">
        <v>42</v>
      </c>
      <c r="M195" s="4">
        <v>73.3</v>
      </c>
      <c r="N195" s="10" t="s">
        <v>40</v>
      </c>
    </row>
    <row r="196" spans="11:14" x14ac:dyDescent="0.2">
      <c r="K196" s="2"/>
      <c r="L196" s="6" t="s">
        <v>43</v>
      </c>
      <c r="M196" s="7">
        <v>73.400000000000006</v>
      </c>
    </row>
    <row r="197" spans="11:14" x14ac:dyDescent="0.2">
      <c r="K197" s="2" t="s">
        <v>27</v>
      </c>
      <c r="L197" s="3" t="s">
        <v>42</v>
      </c>
      <c r="M197" s="4">
        <v>46.9</v>
      </c>
    </row>
    <row r="198" spans="11:14" x14ac:dyDescent="0.2">
      <c r="K198" s="2"/>
      <c r="L198" s="6" t="s">
        <v>43</v>
      </c>
      <c r="M198" s="7">
        <v>53.3</v>
      </c>
    </row>
    <row r="199" spans="11:14" x14ac:dyDescent="0.2">
      <c r="K199" s="2" t="s">
        <v>28</v>
      </c>
      <c r="L199" s="3" t="s">
        <v>42</v>
      </c>
      <c r="M199" s="4">
        <v>30</v>
      </c>
    </row>
    <row r="200" spans="11:14" x14ac:dyDescent="0.2">
      <c r="K200" s="2"/>
      <c r="L200" s="6" t="s">
        <v>43</v>
      </c>
      <c r="M200" s="7">
        <v>37.6</v>
      </c>
    </row>
    <row r="201" spans="11:14" x14ac:dyDescent="0.2">
      <c r="K201" s="2" t="s">
        <v>29</v>
      </c>
      <c r="L201" s="3" t="s">
        <v>42</v>
      </c>
      <c r="M201" s="4">
        <v>44.6</v>
      </c>
    </row>
    <row r="202" spans="11:14" x14ac:dyDescent="0.2">
      <c r="K202" s="2"/>
      <c r="L202" s="6" t="s">
        <v>43</v>
      </c>
      <c r="M202" s="7">
        <v>39.700000000000003</v>
      </c>
    </row>
    <row r="203" spans="11:14" x14ac:dyDescent="0.2">
      <c r="K203" s="2" t="s">
        <v>30</v>
      </c>
      <c r="L203" s="3" t="s">
        <v>42</v>
      </c>
      <c r="M203" s="4">
        <v>40.299999999999997</v>
      </c>
    </row>
    <row r="204" spans="11:14" x14ac:dyDescent="0.2">
      <c r="K204" s="2"/>
      <c r="L204" s="6" t="s">
        <v>43</v>
      </c>
      <c r="M204" s="7">
        <v>51.6</v>
      </c>
    </row>
    <row r="205" spans="11:14" x14ac:dyDescent="0.2">
      <c r="K205" s="2" t="s">
        <v>31</v>
      </c>
      <c r="L205" s="3" t="s">
        <v>42</v>
      </c>
      <c r="M205" s="4">
        <v>31.5</v>
      </c>
    </row>
    <row r="206" spans="11:14" x14ac:dyDescent="0.2">
      <c r="K206" s="2"/>
      <c r="L206" s="6" t="s">
        <v>43</v>
      </c>
      <c r="M206" s="7">
        <v>40.9</v>
      </c>
    </row>
    <row r="207" spans="11:14" x14ac:dyDescent="0.2">
      <c r="K207" s="2" t="s">
        <v>32</v>
      </c>
      <c r="L207" s="3" t="s">
        <v>42</v>
      </c>
      <c r="M207" s="4">
        <v>59.1</v>
      </c>
    </row>
    <row r="208" spans="11:14" x14ac:dyDescent="0.2">
      <c r="K208" s="2"/>
      <c r="L208" s="6" t="s">
        <v>43</v>
      </c>
      <c r="M208" s="7">
        <v>55.5</v>
      </c>
    </row>
    <row r="209" spans="11:13" x14ac:dyDescent="0.2">
      <c r="K209" s="2" t="s">
        <v>33</v>
      </c>
      <c r="L209" s="3" t="s">
        <v>42</v>
      </c>
      <c r="M209" s="4">
        <v>49.2</v>
      </c>
    </row>
    <row r="210" spans="11:13" x14ac:dyDescent="0.2">
      <c r="K210" s="2"/>
      <c r="L210" s="6" t="s">
        <v>43</v>
      </c>
      <c r="M210" s="7">
        <v>34.799999999999997</v>
      </c>
    </row>
    <row r="211" spans="11:13" x14ac:dyDescent="0.2">
      <c r="K211" s="2" t="s">
        <v>34</v>
      </c>
      <c r="L211" s="3" t="s">
        <v>42</v>
      </c>
      <c r="M211" s="4">
        <v>29.7</v>
      </c>
    </row>
    <row r="212" spans="11:13" x14ac:dyDescent="0.2">
      <c r="K212" s="2"/>
      <c r="L212" s="6" t="s">
        <v>43</v>
      </c>
      <c r="M212" s="7">
        <v>25.4</v>
      </c>
    </row>
    <row r="213" spans="11:13" x14ac:dyDescent="0.2">
      <c r="K213" s="2" t="s">
        <v>35</v>
      </c>
      <c r="L213" s="3" t="s">
        <v>42</v>
      </c>
      <c r="M213" s="4">
        <v>63.9</v>
      </c>
    </row>
    <row r="214" spans="11:13" x14ac:dyDescent="0.2">
      <c r="K214" s="2"/>
      <c r="L214" s="6" t="s">
        <v>43</v>
      </c>
      <c r="M214" s="7">
        <v>53</v>
      </c>
    </row>
    <row r="215" spans="11:13" x14ac:dyDescent="0.2">
      <c r="K215" s="2" t="s">
        <v>36</v>
      </c>
      <c r="L215" s="3" t="s">
        <v>42</v>
      </c>
      <c r="M215" s="4">
        <v>68.099999999999994</v>
      </c>
    </row>
    <row r="216" spans="11:13" x14ac:dyDescent="0.2">
      <c r="K216" s="2"/>
      <c r="L216" s="6" t="s">
        <v>43</v>
      </c>
      <c r="M216" s="7">
        <v>61.1</v>
      </c>
    </row>
    <row r="217" spans="11:13" x14ac:dyDescent="0.2">
      <c r="K217" s="2" t="s">
        <v>37</v>
      </c>
      <c r="L217" s="3" t="s">
        <v>42</v>
      </c>
      <c r="M217" s="4">
        <v>51.1</v>
      </c>
    </row>
    <row r="218" spans="11:13" x14ac:dyDescent="0.2">
      <c r="K218" s="2"/>
      <c r="L218" s="6" t="s">
        <v>43</v>
      </c>
      <c r="M218" s="7">
        <v>39</v>
      </c>
    </row>
    <row r="219" spans="11:13" x14ac:dyDescent="0.2">
      <c r="K219" s="2" t="s">
        <v>38</v>
      </c>
      <c r="L219" s="8" t="s">
        <v>42</v>
      </c>
      <c r="M219" s="9">
        <v>48.1</v>
      </c>
    </row>
    <row r="220" spans="11:13" x14ac:dyDescent="0.2">
      <c r="K220" s="2"/>
      <c r="L220" s="6" t="s">
        <v>43</v>
      </c>
      <c r="M220" s="7">
        <v>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J1:N219"/>
  <sheetViews>
    <sheetView tabSelected="1" zoomScale="90" zoomScaleNormal="90" workbookViewId="0">
      <selection activeCell="J71" sqref="J71"/>
    </sheetView>
  </sheetViews>
  <sheetFormatPr baseColWidth="10" defaultColWidth="8.83203125" defaultRowHeight="15" x14ac:dyDescent="0.2"/>
  <cols>
    <col min="1" max="10" width="10.6640625" customWidth="1"/>
    <col min="11" max="11" width="4.6640625" bestFit="1" customWidth="1"/>
    <col min="12" max="12" width="13.5" bestFit="1" customWidth="1"/>
    <col min="13" max="13" width="9.1640625" style="11"/>
    <col min="14" max="14" width="9.1640625" style="20"/>
  </cols>
  <sheetData>
    <row r="1" spans="10:13" ht="16" x14ac:dyDescent="0.2">
      <c r="J1" s="1"/>
      <c r="K1" s="2"/>
      <c r="M1" s="25" t="s">
        <v>41</v>
      </c>
    </row>
    <row r="2" spans="10:13" x14ac:dyDescent="0.2">
      <c r="J2" s="1"/>
      <c r="K2" s="2">
        <v>13</v>
      </c>
      <c r="L2" t="s">
        <v>44</v>
      </c>
      <c r="M2" s="11">
        <f>2.6+2.7</f>
        <v>5.3000000000000007</v>
      </c>
    </row>
    <row r="3" spans="10:13" x14ac:dyDescent="0.2">
      <c r="J3" s="1"/>
      <c r="K3" s="5"/>
      <c r="L3" s="12" t="s">
        <v>45</v>
      </c>
      <c r="M3" s="13">
        <v>0.2</v>
      </c>
    </row>
    <row r="4" spans="10:13" x14ac:dyDescent="0.2">
      <c r="J4" s="1"/>
      <c r="K4" s="2">
        <v>14</v>
      </c>
      <c r="L4" t="s">
        <v>44</v>
      </c>
      <c r="M4" s="11">
        <f>9.8+3.8</f>
        <v>13.600000000000001</v>
      </c>
    </row>
    <row r="5" spans="10:13" x14ac:dyDescent="0.2">
      <c r="J5" s="1"/>
      <c r="K5" s="5"/>
      <c r="L5" s="12" t="s">
        <v>45</v>
      </c>
      <c r="M5" s="13">
        <f>6.8+3.8</f>
        <v>10.6</v>
      </c>
    </row>
    <row r="6" spans="10:13" x14ac:dyDescent="0.2">
      <c r="J6" s="19"/>
      <c r="K6" s="14"/>
      <c r="L6" s="15"/>
      <c r="M6" s="16"/>
    </row>
    <row r="7" spans="10:13" x14ac:dyDescent="0.2">
      <c r="J7" s="19"/>
      <c r="K7" s="14"/>
      <c r="L7" s="15"/>
      <c r="M7" s="16"/>
    </row>
    <row r="8" spans="10:13" x14ac:dyDescent="0.2">
      <c r="J8" s="19"/>
      <c r="K8" s="14"/>
      <c r="L8" s="15"/>
      <c r="M8" s="16"/>
    </row>
    <row r="9" spans="10:13" x14ac:dyDescent="0.2">
      <c r="J9" s="19"/>
      <c r="K9" s="14"/>
      <c r="L9" s="15"/>
      <c r="M9" s="16"/>
    </row>
    <row r="10" spans="10:13" x14ac:dyDescent="0.2">
      <c r="J10" s="1"/>
      <c r="K10" s="2"/>
    </row>
    <row r="11" spans="10:13" x14ac:dyDescent="0.2">
      <c r="J11" s="1"/>
    </row>
    <row r="12" spans="10:13" x14ac:dyDescent="0.2">
      <c r="J12" s="1"/>
    </row>
    <row r="13" spans="10:13" x14ac:dyDescent="0.2">
      <c r="J13" s="1"/>
    </row>
    <row r="14" spans="10:13" x14ac:dyDescent="0.2">
      <c r="J14" s="1"/>
    </row>
    <row r="15" spans="10:13" x14ac:dyDescent="0.2">
      <c r="J15" s="1"/>
      <c r="K15" s="14"/>
      <c r="L15" s="15"/>
      <c r="M15" s="16"/>
    </row>
    <row r="16" spans="10:13" x14ac:dyDescent="0.2">
      <c r="J16" s="1"/>
      <c r="K16" s="2" t="s">
        <v>0</v>
      </c>
      <c r="L16" t="s">
        <v>44</v>
      </c>
      <c r="M16" s="11">
        <v>23</v>
      </c>
    </row>
    <row r="17" spans="10:13" x14ac:dyDescent="0.2">
      <c r="J17" s="1"/>
      <c r="K17" s="5"/>
      <c r="L17" s="12" t="s">
        <v>45</v>
      </c>
      <c r="M17" s="13">
        <v>26.2</v>
      </c>
    </row>
    <row r="18" spans="10:13" x14ac:dyDescent="0.2">
      <c r="J18" s="1"/>
      <c r="K18" s="2">
        <v>20</v>
      </c>
      <c r="L18" t="s">
        <v>44</v>
      </c>
      <c r="M18" s="11">
        <v>27.4</v>
      </c>
    </row>
    <row r="19" spans="10:13" x14ac:dyDescent="0.2">
      <c r="J19" s="1"/>
      <c r="K19" s="5"/>
      <c r="L19" s="12" t="s">
        <v>45</v>
      </c>
      <c r="M19" s="13">
        <v>21.1</v>
      </c>
    </row>
    <row r="20" spans="10:13" x14ac:dyDescent="0.2">
      <c r="J20" s="1"/>
      <c r="K20" s="2"/>
    </row>
    <row r="21" spans="10:13" x14ac:dyDescent="0.2">
      <c r="J21" s="1"/>
    </row>
    <row r="22" spans="10:13" x14ac:dyDescent="0.2">
      <c r="J22" s="1"/>
    </row>
    <row r="23" spans="10:13" x14ac:dyDescent="0.2">
      <c r="J23" s="1"/>
    </row>
    <row r="24" spans="10:13" x14ac:dyDescent="0.2">
      <c r="J24" s="1"/>
    </row>
    <row r="25" spans="10:13" x14ac:dyDescent="0.2">
      <c r="J25" s="1"/>
    </row>
    <row r="26" spans="10:13" x14ac:dyDescent="0.2">
      <c r="J26" s="1"/>
    </row>
    <row r="27" spans="10:13" x14ac:dyDescent="0.2">
      <c r="J27" s="1"/>
    </row>
    <row r="28" spans="10:13" x14ac:dyDescent="0.2">
      <c r="J28" s="1"/>
      <c r="K28" s="2" t="s">
        <v>1</v>
      </c>
      <c r="L28" t="s">
        <v>44</v>
      </c>
      <c r="M28" s="11">
        <f>2.8+24.3</f>
        <v>27.1</v>
      </c>
    </row>
    <row r="29" spans="10:13" x14ac:dyDescent="0.2">
      <c r="J29" s="1"/>
      <c r="K29" s="5"/>
      <c r="L29" s="12" t="s">
        <v>45</v>
      </c>
      <c r="M29" s="13">
        <f>3.8+15</f>
        <v>18.8</v>
      </c>
    </row>
    <row r="30" spans="10:13" x14ac:dyDescent="0.2">
      <c r="J30" s="1"/>
      <c r="K30" s="2" t="s">
        <v>2</v>
      </c>
      <c r="L30" t="s">
        <v>44</v>
      </c>
      <c r="M30" s="11">
        <f>5.6+17.3</f>
        <v>22.9</v>
      </c>
    </row>
    <row r="31" spans="10:13" x14ac:dyDescent="0.2">
      <c r="J31" s="1"/>
      <c r="K31" s="5"/>
      <c r="L31" s="12" t="s">
        <v>45</v>
      </c>
      <c r="M31" s="13">
        <f>3.6+23.5</f>
        <v>27.1</v>
      </c>
    </row>
    <row r="32" spans="10:13" x14ac:dyDescent="0.2">
      <c r="J32" s="1"/>
      <c r="K32" s="2" t="s">
        <v>3</v>
      </c>
      <c r="L32" t="s">
        <v>44</v>
      </c>
      <c r="M32" s="11">
        <f>16.5+26.8</f>
        <v>43.3</v>
      </c>
    </row>
    <row r="33" spans="10:13" x14ac:dyDescent="0.2">
      <c r="J33" s="1"/>
      <c r="K33" s="5"/>
      <c r="L33" s="12" t="s">
        <v>45</v>
      </c>
      <c r="M33" s="13">
        <f>4.9+21.5</f>
        <v>26.4</v>
      </c>
    </row>
    <row r="34" spans="10:13" x14ac:dyDescent="0.2">
      <c r="J34" s="1"/>
      <c r="K34" s="2" t="s">
        <v>4</v>
      </c>
      <c r="L34" t="s">
        <v>44</v>
      </c>
      <c r="M34" s="11">
        <f>36.5+37.7</f>
        <v>74.2</v>
      </c>
    </row>
    <row r="35" spans="10:13" x14ac:dyDescent="0.2">
      <c r="J35" s="1"/>
      <c r="K35" s="5"/>
      <c r="L35" s="12" t="s">
        <v>45</v>
      </c>
      <c r="M35" s="13">
        <f>41+30.9</f>
        <v>71.900000000000006</v>
      </c>
    </row>
    <row r="36" spans="10:13" x14ac:dyDescent="0.2">
      <c r="J36" s="1"/>
      <c r="K36" s="2" t="s">
        <v>5</v>
      </c>
      <c r="L36" t="s">
        <v>44</v>
      </c>
      <c r="M36" s="11">
        <f>21.2+40.8</f>
        <v>62</v>
      </c>
    </row>
    <row r="37" spans="10:13" x14ac:dyDescent="0.2">
      <c r="J37" s="1"/>
      <c r="K37" s="5"/>
      <c r="L37" s="12" t="s">
        <v>45</v>
      </c>
      <c r="M37" s="13">
        <f>21+41.7</f>
        <v>62.7</v>
      </c>
    </row>
    <row r="38" spans="10:13" x14ac:dyDescent="0.2">
      <c r="J38" s="1"/>
      <c r="K38" s="2" t="s">
        <v>6</v>
      </c>
      <c r="L38" t="s">
        <v>44</v>
      </c>
      <c r="M38" s="11">
        <f>23+31.2</f>
        <v>54.2</v>
      </c>
    </row>
    <row r="39" spans="10:13" ht="17.25" customHeight="1" x14ac:dyDescent="0.2">
      <c r="J39" s="1"/>
      <c r="K39" s="5"/>
      <c r="L39" s="12" t="s">
        <v>45</v>
      </c>
      <c r="M39" s="13">
        <f>24+33.5</f>
        <v>57.5</v>
      </c>
    </row>
    <row r="40" spans="10:13" x14ac:dyDescent="0.2">
      <c r="J40" s="1"/>
      <c r="K40" s="2">
        <v>21</v>
      </c>
      <c r="L40" t="s">
        <v>44</v>
      </c>
      <c r="M40" s="11">
        <v>48.1</v>
      </c>
    </row>
    <row r="41" spans="10:13" x14ac:dyDescent="0.2">
      <c r="J41" s="1"/>
      <c r="K41" s="5"/>
      <c r="L41" s="12" t="s">
        <v>45</v>
      </c>
      <c r="M41" s="13">
        <v>47</v>
      </c>
    </row>
    <row r="42" spans="10:13" x14ac:dyDescent="0.2">
      <c r="J42" s="1"/>
      <c r="K42" s="2">
        <v>22</v>
      </c>
      <c r="L42" t="s">
        <v>44</v>
      </c>
      <c r="M42" s="11">
        <f>10.9+9.4+0.2+0.1</f>
        <v>20.6</v>
      </c>
    </row>
    <row r="43" spans="10:13" x14ac:dyDescent="0.2">
      <c r="J43" s="1"/>
      <c r="K43" s="5"/>
      <c r="L43" s="12" t="s">
        <v>45</v>
      </c>
      <c r="M43" s="13">
        <f>5.2+15.6+0.2+0.2</f>
        <v>21.2</v>
      </c>
    </row>
    <row r="44" spans="10:13" x14ac:dyDescent="0.2">
      <c r="J44" s="1"/>
    </row>
    <row r="45" spans="10:13" x14ac:dyDescent="0.2">
      <c r="J45" s="1"/>
    </row>
    <row r="46" spans="10:13" x14ac:dyDescent="0.2">
      <c r="J46" s="1"/>
    </row>
    <row r="47" spans="10:13" x14ac:dyDescent="0.2">
      <c r="J47" s="1"/>
    </row>
    <row r="48" spans="10:13" x14ac:dyDescent="0.2">
      <c r="J48" s="1"/>
    </row>
    <row r="49" spans="10:14" x14ac:dyDescent="0.2">
      <c r="J49" s="1"/>
    </row>
    <row r="50" spans="10:14" x14ac:dyDescent="0.2">
      <c r="J50" s="1"/>
    </row>
    <row r="51" spans="10:14" x14ac:dyDescent="0.2">
      <c r="J51" s="1"/>
    </row>
    <row r="52" spans="10:14" x14ac:dyDescent="0.2">
      <c r="J52" s="1"/>
    </row>
    <row r="53" spans="10:14" x14ac:dyDescent="0.2">
      <c r="J53" s="1"/>
    </row>
    <row r="54" spans="10:14" x14ac:dyDescent="0.2">
      <c r="J54" s="1"/>
    </row>
    <row r="55" spans="10:14" x14ac:dyDescent="0.2">
      <c r="J55" s="1"/>
    </row>
    <row r="56" spans="10:14" x14ac:dyDescent="0.2">
      <c r="J56" s="1"/>
    </row>
    <row r="57" spans="10:14" x14ac:dyDescent="0.2">
      <c r="J57" s="1"/>
      <c r="K57" s="2" t="s">
        <v>7</v>
      </c>
      <c r="L57" t="s">
        <v>44</v>
      </c>
      <c r="M57" s="11">
        <f>1.9+44.8</f>
        <v>46.699999999999996</v>
      </c>
    </row>
    <row r="58" spans="10:14" x14ac:dyDescent="0.2">
      <c r="J58" s="1"/>
      <c r="K58" s="5"/>
      <c r="L58" s="12" t="s">
        <v>45</v>
      </c>
      <c r="M58" s="13">
        <f>0.3+34</f>
        <v>34.299999999999997</v>
      </c>
    </row>
    <row r="59" spans="10:14" x14ac:dyDescent="0.2">
      <c r="J59" s="1"/>
      <c r="K59" s="2" t="s">
        <v>8</v>
      </c>
      <c r="L59" t="s">
        <v>44</v>
      </c>
      <c r="M59" s="27">
        <v>25.9</v>
      </c>
    </row>
    <row r="60" spans="10:14" s="15" customFormat="1" ht="14.25" customHeight="1" x14ac:dyDescent="0.2">
      <c r="J60" s="19"/>
      <c r="K60" s="5"/>
      <c r="L60" s="12" t="s">
        <v>45</v>
      </c>
      <c r="M60" s="13">
        <v>34.799999999999997</v>
      </c>
      <c r="N60" s="21"/>
    </row>
    <row r="61" spans="10:14" ht="14.25" customHeight="1" x14ac:dyDescent="0.2">
      <c r="J61" s="1"/>
      <c r="K61" s="2" t="s">
        <v>9</v>
      </c>
      <c r="L61" t="s">
        <v>44</v>
      </c>
      <c r="M61" s="11">
        <f>86.8+8.9</f>
        <v>95.7</v>
      </c>
    </row>
    <row r="62" spans="10:14" ht="16.5" customHeight="1" x14ac:dyDescent="0.2">
      <c r="J62" s="1"/>
      <c r="K62" s="5"/>
      <c r="L62" s="12" t="s">
        <v>45</v>
      </c>
      <c r="M62" s="13">
        <f>86.2+8.9</f>
        <v>95.100000000000009</v>
      </c>
    </row>
    <row r="63" spans="10:14" x14ac:dyDescent="0.2">
      <c r="J63" s="1"/>
      <c r="K63" s="2" t="s">
        <v>10</v>
      </c>
      <c r="L63" t="s">
        <v>44</v>
      </c>
      <c r="M63" s="11">
        <v>14.8</v>
      </c>
    </row>
    <row r="64" spans="10:14" x14ac:dyDescent="0.2">
      <c r="J64" s="1"/>
      <c r="K64" s="5"/>
      <c r="L64" s="12" t="s">
        <v>45</v>
      </c>
      <c r="M64" s="13">
        <v>13.1</v>
      </c>
    </row>
    <row r="65" spans="10:13" x14ac:dyDescent="0.2">
      <c r="J65" s="1"/>
      <c r="K65" s="2" t="s">
        <v>11</v>
      </c>
      <c r="L65" t="s">
        <v>44</v>
      </c>
      <c r="M65" s="11">
        <f>15.1+4+0.3+5.3</f>
        <v>24.700000000000003</v>
      </c>
    </row>
    <row r="66" spans="10:13" x14ac:dyDescent="0.2">
      <c r="J66" s="1"/>
      <c r="K66" s="5"/>
      <c r="L66" s="12" t="s">
        <v>45</v>
      </c>
      <c r="M66" s="13">
        <f>15.1+15+0.5+0.5</f>
        <v>31.1</v>
      </c>
    </row>
    <row r="67" spans="10:13" x14ac:dyDescent="0.2">
      <c r="J67" s="1"/>
      <c r="K67" s="2" t="s">
        <v>12</v>
      </c>
      <c r="L67" t="s">
        <v>44</v>
      </c>
      <c r="M67" s="11">
        <f>19.9+22.9</f>
        <v>42.8</v>
      </c>
    </row>
    <row r="68" spans="10:13" x14ac:dyDescent="0.2">
      <c r="J68" s="1"/>
      <c r="K68" s="5"/>
      <c r="L68" s="12" t="s">
        <v>45</v>
      </c>
      <c r="M68" s="13">
        <f>18.1+29.4</f>
        <v>47.5</v>
      </c>
    </row>
    <row r="69" spans="10:13" x14ac:dyDescent="0.2">
      <c r="J69" s="1"/>
      <c r="K69" s="2" t="s">
        <v>13</v>
      </c>
      <c r="L69" t="s">
        <v>44</v>
      </c>
      <c r="M69" s="11">
        <f>17.3+11.6</f>
        <v>28.9</v>
      </c>
    </row>
    <row r="70" spans="10:13" x14ac:dyDescent="0.2">
      <c r="J70" s="1"/>
      <c r="K70" s="5"/>
      <c r="L70" s="12" t="s">
        <v>45</v>
      </c>
      <c r="M70" s="13">
        <f>16.9+25.3</f>
        <v>42.2</v>
      </c>
    </row>
    <row r="71" spans="10:13" x14ac:dyDescent="0.2">
      <c r="J71" s="1"/>
      <c r="K71" s="2" t="s">
        <v>14</v>
      </c>
      <c r="L71" t="s">
        <v>44</v>
      </c>
      <c r="M71" s="11">
        <f>9.9+10.2</f>
        <v>20.100000000000001</v>
      </c>
    </row>
    <row r="72" spans="10:13" x14ac:dyDescent="0.2">
      <c r="J72" s="1"/>
      <c r="K72" s="5"/>
      <c r="L72" s="12" t="s">
        <v>45</v>
      </c>
      <c r="M72" s="13">
        <f>8.9+10.4</f>
        <v>19.3</v>
      </c>
    </row>
    <row r="73" spans="10:13" x14ac:dyDescent="0.2">
      <c r="J73" s="1"/>
      <c r="K73" s="2" t="s">
        <v>15</v>
      </c>
      <c r="L73" t="s">
        <v>44</v>
      </c>
      <c r="M73" s="11">
        <f>20.4+29.6</f>
        <v>50</v>
      </c>
    </row>
    <row r="74" spans="10:13" x14ac:dyDescent="0.2">
      <c r="J74" s="1"/>
      <c r="K74" s="5"/>
      <c r="L74" s="12" t="s">
        <v>45</v>
      </c>
      <c r="M74" s="13">
        <f>12.5+37</f>
        <v>49.5</v>
      </c>
    </row>
    <row r="75" spans="10:13" x14ac:dyDescent="0.2">
      <c r="J75" s="1"/>
      <c r="K75" s="2" t="s">
        <v>16</v>
      </c>
      <c r="L75" t="s">
        <v>44</v>
      </c>
      <c r="M75" s="11">
        <f>19.5+32.7</f>
        <v>52.2</v>
      </c>
    </row>
    <row r="76" spans="10:13" x14ac:dyDescent="0.2">
      <c r="J76" s="1"/>
      <c r="K76" s="5"/>
      <c r="L76" s="12" t="s">
        <v>45</v>
      </c>
      <c r="M76" s="13">
        <f>11.3+38.7</f>
        <v>50</v>
      </c>
    </row>
    <row r="77" spans="10:13" x14ac:dyDescent="0.2">
      <c r="J77" s="1"/>
    </row>
    <row r="78" spans="10:13" x14ac:dyDescent="0.2">
      <c r="J78" s="1"/>
    </row>
    <row r="79" spans="10:13" x14ac:dyDescent="0.2">
      <c r="J79" s="1"/>
      <c r="K79" s="2"/>
    </row>
    <row r="80" spans="10:13" x14ac:dyDescent="0.2">
      <c r="J80" s="1"/>
      <c r="K80" s="2"/>
    </row>
    <row r="82" spans="10:13" x14ac:dyDescent="0.2">
      <c r="J82" s="1"/>
    </row>
    <row r="83" spans="10:13" x14ac:dyDescent="0.2">
      <c r="J83" s="1"/>
    </row>
    <row r="84" spans="10:13" x14ac:dyDescent="0.2">
      <c r="J84" s="1"/>
    </row>
    <row r="85" spans="10:13" x14ac:dyDescent="0.2">
      <c r="J85" s="1"/>
    </row>
    <row r="86" spans="10:13" x14ac:dyDescent="0.2">
      <c r="J86" s="1"/>
    </row>
    <row r="87" spans="10:13" x14ac:dyDescent="0.2">
      <c r="J87" s="1"/>
    </row>
    <row r="88" spans="10:13" x14ac:dyDescent="0.2">
      <c r="J88" s="1"/>
      <c r="K88" s="2" t="s">
        <v>17</v>
      </c>
      <c r="L88" t="s">
        <v>44</v>
      </c>
      <c r="M88" s="11">
        <v>42.3</v>
      </c>
    </row>
    <row r="89" spans="10:13" x14ac:dyDescent="0.2">
      <c r="J89" s="1"/>
      <c r="K89" s="5"/>
      <c r="L89" s="12" t="s">
        <v>45</v>
      </c>
      <c r="M89" s="13">
        <v>28.1</v>
      </c>
    </row>
    <row r="90" spans="10:13" x14ac:dyDescent="0.2">
      <c r="J90" s="1"/>
      <c r="K90" s="2" t="s">
        <v>18</v>
      </c>
      <c r="L90" t="s">
        <v>44</v>
      </c>
      <c r="M90" s="11">
        <v>31.7</v>
      </c>
    </row>
    <row r="91" spans="10:13" x14ac:dyDescent="0.2">
      <c r="J91" s="1"/>
      <c r="K91" s="5"/>
      <c r="L91" s="12" t="s">
        <v>45</v>
      </c>
      <c r="M91" s="13">
        <v>35.799999999999997</v>
      </c>
    </row>
    <row r="92" spans="10:13" x14ac:dyDescent="0.2">
      <c r="J92" s="1"/>
      <c r="K92" s="2" t="s">
        <v>19</v>
      </c>
      <c r="L92" t="s">
        <v>44</v>
      </c>
      <c r="M92" s="11">
        <v>6.6</v>
      </c>
    </row>
    <row r="93" spans="10:13" x14ac:dyDescent="0.2">
      <c r="J93" s="1"/>
      <c r="K93" s="5"/>
      <c r="L93" s="12" t="s">
        <v>45</v>
      </c>
      <c r="M93" s="13">
        <v>0.5</v>
      </c>
    </row>
    <row r="94" spans="10:13" x14ac:dyDescent="0.2">
      <c r="J94" s="1"/>
      <c r="K94" s="2" t="s">
        <v>20</v>
      </c>
      <c r="L94" t="s">
        <v>44</v>
      </c>
      <c r="M94" s="11">
        <v>14.2</v>
      </c>
    </row>
    <row r="95" spans="10:13" x14ac:dyDescent="0.2">
      <c r="J95" s="1"/>
      <c r="K95" s="5"/>
      <c r="L95" s="12" t="s">
        <v>45</v>
      </c>
      <c r="M95" s="13">
        <v>22.2</v>
      </c>
    </row>
    <row r="96" spans="10:13" x14ac:dyDescent="0.2">
      <c r="J96" s="1"/>
      <c r="K96" s="2" t="s">
        <v>21</v>
      </c>
      <c r="L96" t="s">
        <v>44</v>
      </c>
      <c r="M96" s="11">
        <v>21.1</v>
      </c>
    </row>
    <row r="97" spans="10:13" x14ac:dyDescent="0.2">
      <c r="J97" s="1"/>
      <c r="K97" s="5"/>
      <c r="L97" s="12" t="s">
        <v>45</v>
      </c>
      <c r="M97" s="13">
        <v>25.8</v>
      </c>
    </row>
    <row r="98" spans="10:13" x14ac:dyDescent="0.2">
      <c r="J98" s="1"/>
      <c r="K98" s="2" t="s">
        <v>22</v>
      </c>
      <c r="L98" t="s">
        <v>44</v>
      </c>
      <c r="M98" s="11">
        <v>6.6</v>
      </c>
    </row>
    <row r="99" spans="10:13" x14ac:dyDescent="0.2">
      <c r="J99" s="1"/>
      <c r="K99" s="5"/>
      <c r="L99" s="12" t="s">
        <v>45</v>
      </c>
      <c r="M99" s="13">
        <v>5.3</v>
      </c>
    </row>
    <row r="100" spans="10:13" x14ac:dyDescent="0.2">
      <c r="J100" s="1"/>
      <c r="K100" s="2" t="s">
        <v>23</v>
      </c>
      <c r="L100" t="s">
        <v>44</v>
      </c>
      <c r="M100" s="11">
        <v>4</v>
      </c>
    </row>
    <row r="101" spans="10:13" x14ac:dyDescent="0.2">
      <c r="J101" s="1"/>
      <c r="K101" s="5"/>
      <c r="L101" s="12" t="s">
        <v>45</v>
      </c>
      <c r="M101" s="13">
        <v>5.0999999999999996</v>
      </c>
    </row>
    <row r="102" spans="10:13" x14ac:dyDescent="0.2">
      <c r="J102" s="1"/>
      <c r="K102" s="2" t="s">
        <v>24</v>
      </c>
      <c r="L102" t="s">
        <v>44</v>
      </c>
      <c r="M102" s="11">
        <v>5</v>
      </c>
    </row>
    <row r="103" spans="10:13" x14ac:dyDescent="0.2">
      <c r="J103" s="1"/>
      <c r="K103" s="5"/>
      <c r="L103" s="12" t="s">
        <v>45</v>
      </c>
      <c r="M103" s="13">
        <v>6.3</v>
      </c>
    </row>
    <row r="104" spans="10:13" x14ac:dyDescent="0.2">
      <c r="J104" s="1"/>
    </row>
    <row r="105" spans="10:13" x14ac:dyDescent="0.2">
      <c r="J105" s="1"/>
    </row>
    <row r="106" spans="10:13" x14ac:dyDescent="0.2">
      <c r="J106" s="1"/>
    </row>
    <row r="107" spans="10:13" ht="21" customHeight="1" x14ac:dyDescent="0.2">
      <c r="J107" s="1"/>
      <c r="K107" s="14"/>
    </row>
    <row r="109" spans="10:13" x14ac:dyDescent="0.2">
      <c r="J109" s="1"/>
    </row>
    <row r="110" spans="10:13" x14ac:dyDescent="0.2">
      <c r="J110" s="1"/>
    </row>
    <row r="111" spans="10:13" x14ac:dyDescent="0.2">
      <c r="J111" s="1"/>
    </row>
    <row r="112" spans="10:13" x14ac:dyDescent="0.2">
      <c r="J112" s="1"/>
    </row>
    <row r="113" spans="10:14" x14ac:dyDescent="0.2">
      <c r="J113" s="1"/>
    </row>
    <row r="114" spans="10:14" x14ac:dyDescent="0.2">
      <c r="J114" s="1"/>
      <c r="K114" s="2" t="s">
        <v>26</v>
      </c>
      <c r="L114" t="s">
        <v>44</v>
      </c>
      <c r="M114" s="11">
        <v>14</v>
      </c>
      <c r="N114" s="10" t="s">
        <v>25</v>
      </c>
    </row>
    <row r="115" spans="10:14" x14ac:dyDescent="0.2">
      <c r="J115" s="1"/>
      <c r="K115" s="5"/>
      <c r="L115" s="12" t="s">
        <v>45</v>
      </c>
      <c r="M115" s="13">
        <v>4.5</v>
      </c>
    </row>
    <row r="116" spans="10:14" x14ac:dyDescent="0.2">
      <c r="J116" s="1"/>
      <c r="K116" s="2" t="s">
        <v>27</v>
      </c>
      <c r="L116" t="s">
        <v>44</v>
      </c>
      <c r="M116" s="11">
        <v>63.6</v>
      </c>
    </row>
    <row r="117" spans="10:14" x14ac:dyDescent="0.2">
      <c r="J117" s="1"/>
      <c r="K117" s="5"/>
      <c r="L117" s="12" t="s">
        <v>45</v>
      </c>
      <c r="M117" s="13">
        <v>64</v>
      </c>
    </row>
    <row r="118" spans="10:14" x14ac:dyDescent="0.2">
      <c r="J118" s="1"/>
      <c r="K118" s="2" t="s">
        <v>28</v>
      </c>
      <c r="L118" t="s">
        <v>44</v>
      </c>
      <c r="M118" s="11">
        <v>92.8</v>
      </c>
    </row>
    <row r="119" spans="10:14" x14ac:dyDescent="0.2">
      <c r="J119" s="1"/>
      <c r="K119" s="5"/>
      <c r="L119" s="12" t="s">
        <v>45</v>
      </c>
      <c r="M119" s="13">
        <v>95.5</v>
      </c>
    </row>
    <row r="120" spans="10:14" x14ac:dyDescent="0.2">
      <c r="J120" s="1"/>
      <c r="K120" s="2" t="s">
        <v>29</v>
      </c>
      <c r="L120" t="s">
        <v>44</v>
      </c>
      <c r="M120" s="11">
        <v>67.8</v>
      </c>
    </row>
    <row r="121" spans="10:14" x14ac:dyDescent="0.2">
      <c r="J121" s="1"/>
      <c r="K121" s="5"/>
      <c r="L121" s="12" t="s">
        <v>45</v>
      </c>
      <c r="M121" s="13">
        <v>51.7</v>
      </c>
    </row>
    <row r="122" spans="10:14" x14ac:dyDescent="0.2">
      <c r="J122" s="1"/>
      <c r="K122" s="2" t="s">
        <v>30</v>
      </c>
      <c r="L122" t="s">
        <v>44</v>
      </c>
      <c r="M122" s="11">
        <v>54.3</v>
      </c>
    </row>
    <row r="123" spans="10:14" x14ac:dyDescent="0.2">
      <c r="J123" s="1"/>
      <c r="K123" s="5"/>
      <c r="L123" s="12" t="s">
        <v>45</v>
      </c>
      <c r="M123" s="13">
        <v>61.3</v>
      </c>
    </row>
    <row r="124" spans="10:14" x14ac:dyDescent="0.2">
      <c r="J124" s="1"/>
      <c r="K124" s="2" t="s">
        <v>31</v>
      </c>
      <c r="L124" t="s">
        <v>44</v>
      </c>
      <c r="M124" s="11">
        <f>0.3+0.1+0.1</f>
        <v>0.5</v>
      </c>
    </row>
    <row r="125" spans="10:14" x14ac:dyDescent="0.2">
      <c r="J125" s="1"/>
      <c r="K125" s="5"/>
      <c r="L125" s="12" t="s">
        <v>45</v>
      </c>
      <c r="M125" s="13">
        <f>0.4+3</f>
        <v>3.4</v>
      </c>
    </row>
    <row r="126" spans="10:14" x14ac:dyDescent="0.2">
      <c r="J126" s="1"/>
      <c r="K126" s="2" t="s">
        <v>32</v>
      </c>
      <c r="L126" t="s">
        <v>44</v>
      </c>
      <c r="M126" s="11">
        <v>54.8</v>
      </c>
    </row>
    <row r="127" spans="10:14" x14ac:dyDescent="0.2">
      <c r="J127" s="1"/>
      <c r="K127" s="5"/>
      <c r="L127" s="12" t="s">
        <v>45</v>
      </c>
      <c r="M127" s="13">
        <v>48.6</v>
      </c>
    </row>
    <row r="128" spans="10:14" x14ac:dyDescent="0.2">
      <c r="J128" s="1"/>
      <c r="K128" s="2" t="s">
        <v>33</v>
      </c>
      <c r="L128" t="s">
        <v>44</v>
      </c>
      <c r="M128" s="11">
        <v>39.9</v>
      </c>
    </row>
    <row r="129" spans="10:13" x14ac:dyDescent="0.2">
      <c r="J129" s="1"/>
      <c r="K129" s="5"/>
      <c r="L129" s="12" t="s">
        <v>45</v>
      </c>
      <c r="M129" s="13">
        <v>24.7</v>
      </c>
    </row>
    <row r="130" spans="10:13" x14ac:dyDescent="0.2">
      <c r="J130" s="1"/>
      <c r="K130" s="2" t="s">
        <v>34</v>
      </c>
      <c r="L130" t="s">
        <v>44</v>
      </c>
      <c r="M130" s="11">
        <v>80.400000000000006</v>
      </c>
    </row>
    <row r="131" spans="10:13" x14ac:dyDescent="0.2">
      <c r="J131" s="1"/>
      <c r="K131" s="5"/>
      <c r="L131" s="12" t="s">
        <v>45</v>
      </c>
      <c r="M131" s="13">
        <v>71.3</v>
      </c>
    </row>
    <row r="132" spans="10:13" x14ac:dyDescent="0.2">
      <c r="J132" s="1"/>
      <c r="K132" s="2" t="s">
        <v>35</v>
      </c>
      <c r="L132" t="s">
        <v>44</v>
      </c>
      <c r="M132" s="11">
        <v>60.6</v>
      </c>
    </row>
    <row r="133" spans="10:13" x14ac:dyDescent="0.2">
      <c r="J133" s="1"/>
      <c r="K133" s="5"/>
      <c r="L133" s="12" t="s">
        <v>45</v>
      </c>
      <c r="M133" s="13">
        <v>31.3</v>
      </c>
    </row>
    <row r="134" spans="10:13" ht="19.5" customHeight="1" x14ac:dyDescent="0.2">
      <c r="J134" s="1"/>
      <c r="K134" s="2" t="s">
        <v>36</v>
      </c>
      <c r="L134" t="s">
        <v>44</v>
      </c>
      <c r="M134" s="11">
        <v>22.1</v>
      </c>
    </row>
    <row r="135" spans="10:13" x14ac:dyDescent="0.2">
      <c r="K135" s="5"/>
      <c r="L135" s="12" t="s">
        <v>45</v>
      </c>
      <c r="M135" s="13">
        <v>20.8</v>
      </c>
    </row>
    <row r="136" spans="10:13" x14ac:dyDescent="0.2">
      <c r="J136" s="1"/>
      <c r="K136" s="2" t="s">
        <v>37</v>
      </c>
      <c r="L136" t="s">
        <v>44</v>
      </c>
      <c r="M136" s="11">
        <f>4.8+4.6+3.8</f>
        <v>13.2</v>
      </c>
    </row>
    <row r="137" spans="10:13" x14ac:dyDescent="0.2">
      <c r="J137" s="1"/>
      <c r="K137" s="5"/>
      <c r="L137" s="12" t="s">
        <v>45</v>
      </c>
      <c r="M137" s="13">
        <f>3.3+0.5+3.5</f>
        <v>7.3</v>
      </c>
    </row>
    <row r="138" spans="10:13" x14ac:dyDescent="0.2">
      <c r="J138" s="1"/>
      <c r="K138" s="2" t="s">
        <v>38</v>
      </c>
      <c r="L138" t="s">
        <v>44</v>
      </c>
      <c r="M138" s="11">
        <f>1.4+11.2+4.3</f>
        <v>16.899999999999999</v>
      </c>
    </row>
    <row r="139" spans="10:13" x14ac:dyDescent="0.2">
      <c r="J139" s="1"/>
      <c r="K139" s="5"/>
      <c r="L139" s="12" t="s">
        <v>45</v>
      </c>
      <c r="M139" s="13">
        <f>3.3+10.5+8.1</f>
        <v>21.9</v>
      </c>
    </row>
    <row r="140" spans="10:13" x14ac:dyDescent="0.2">
      <c r="J140" s="1"/>
    </row>
    <row r="141" spans="10:13" x14ac:dyDescent="0.2">
      <c r="J141" s="1"/>
    </row>
    <row r="142" spans="10:13" x14ac:dyDescent="0.2">
      <c r="J142" s="1"/>
    </row>
    <row r="143" spans="10:13" x14ac:dyDescent="0.2">
      <c r="J143" s="1"/>
    </row>
    <row r="144" spans="10:13" x14ac:dyDescent="0.2">
      <c r="J144" s="1"/>
    </row>
    <row r="145" spans="10:14" x14ac:dyDescent="0.2">
      <c r="J145" s="1"/>
    </row>
    <row r="146" spans="10:14" x14ac:dyDescent="0.2">
      <c r="J146" s="1"/>
    </row>
    <row r="147" spans="10:14" x14ac:dyDescent="0.2">
      <c r="J147" s="1"/>
    </row>
    <row r="148" spans="10:14" x14ac:dyDescent="0.2">
      <c r="J148" s="1"/>
    </row>
    <row r="149" spans="10:14" x14ac:dyDescent="0.2">
      <c r="J149" s="1"/>
    </row>
    <row r="150" spans="10:14" x14ac:dyDescent="0.2">
      <c r="J150" s="1"/>
    </row>
    <row r="151" spans="10:14" x14ac:dyDescent="0.2">
      <c r="J151" s="1"/>
    </row>
    <row r="152" spans="10:14" x14ac:dyDescent="0.2">
      <c r="J152" s="1"/>
    </row>
    <row r="153" spans="10:14" x14ac:dyDescent="0.2">
      <c r="J153" s="1"/>
    </row>
    <row r="154" spans="10:14" x14ac:dyDescent="0.2">
      <c r="J154" s="1"/>
      <c r="K154" s="2" t="s">
        <v>26</v>
      </c>
      <c r="L154" t="s">
        <v>44</v>
      </c>
      <c r="M154" s="11">
        <v>5.3</v>
      </c>
      <c r="N154" s="10" t="s">
        <v>39</v>
      </c>
    </row>
    <row r="155" spans="10:14" x14ac:dyDescent="0.2">
      <c r="J155" s="1"/>
      <c r="K155" s="5"/>
      <c r="L155" s="12" t="s">
        <v>45</v>
      </c>
      <c r="M155" s="13">
        <v>3.8</v>
      </c>
    </row>
    <row r="156" spans="10:14" x14ac:dyDescent="0.2">
      <c r="J156" s="1"/>
      <c r="K156" s="2" t="s">
        <v>27</v>
      </c>
      <c r="L156" t="s">
        <v>44</v>
      </c>
      <c r="M156" s="11">
        <v>7.1</v>
      </c>
    </row>
    <row r="157" spans="10:14" x14ac:dyDescent="0.2">
      <c r="J157" s="1"/>
      <c r="K157" s="5"/>
      <c r="L157" s="12" t="s">
        <v>45</v>
      </c>
      <c r="M157" s="13">
        <v>1.3</v>
      </c>
    </row>
    <row r="158" spans="10:14" x14ac:dyDescent="0.2">
      <c r="J158" s="1"/>
      <c r="K158" s="2" t="s">
        <v>28</v>
      </c>
      <c r="L158" t="s">
        <v>44</v>
      </c>
      <c r="M158" s="11">
        <v>7.9</v>
      </c>
    </row>
    <row r="159" spans="10:14" x14ac:dyDescent="0.2">
      <c r="J159" s="1"/>
      <c r="K159" s="5"/>
      <c r="L159" s="12" t="s">
        <v>45</v>
      </c>
      <c r="M159" s="13">
        <v>4.3</v>
      </c>
    </row>
    <row r="160" spans="10:14" x14ac:dyDescent="0.2">
      <c r="J160" s="1"/>
      <c r="K160" s="2" t="s">
        <v>29</v>
      </c>
      <c r="L160" t="s">
        <v>44</v>
      </c>
      <c r="M160" s="11">
        <v>6.3</v>
      </c>
    </row>
    <row r="161" spans="11:13" x14ac:dyDescent="0.2">
      <c r="K161" s="5"/>
      <c r="L161" s="12" t="s">
        <v>45</v>
      </c>
      <c r="M161" s="13">
        <v>6.9</v>
      </c>
    </row>
    <row r="162" spans="11:13" x14ac:dyDescent="0.2">
      <c r="K162" s="2" t="s">
        <v>30</v>
      </c>
      <c r="L162" t="s">
        <v>44</v>
      </c>
      <c r="M162" s="11">
        <v>6.9</v>
      </c>
    </row>
    <row r="163" spans="11:13" x14ac:dyDescent="0.2">
      <c r="K163" s="5"/>
      <c r="L163" s="12" t="s">
        <v>45</v>
      </c>
      <c r="M163" s="13">
        <v>3.6</v>
      </c>
    </row>
    <row r="164" spans="11:13" x14ac:dyDescent="0.2">
      <c r="K164" s="2" t="s">
        <v>31</v>
      </c>
      <c r="L164" t="s">
        <v>44</v>
      </c>
      <c r="M164" s="11">
        <v>4.3</v>
      </c>
    </row>
    <row r="165" spans="11:13" x14ac:dyDescent="0.2">
      <c r="K165" s="5"/>
      <c r="L165" s="12" t="s">
        <v>45</v>
      </c>
      <c r="M165" s="13">
        <v>7.5</v>
      </c>
    </row>
    <row r="166" spans="11:13" x14ac:dyDescent="0.2">
      <c r="K166" s="2" t="s">
        <v>32</v>
      </c>
      <c r="L166" t="s">
        <v>44</v>
      </c>
      <c r="M166" s="11">
        <v>9</v>
      </c>
    </row>
    <row r="167" spans="11:13" x14ac:dyDescent="0.2">
      <c r="K167" s="5"/>
      <c r="L167" s="12" t="s">
        <v>45</v>
      </c>
      <c r="M167" s="13">
        <v>7.5</v>
      </c>
    </row>
    <row r="168" spans="11:13" x14ac:dyDescent="0.2">
      <c r="K168" s="2" t="s">
        <v>33</v>
      </c>
      <c r="L168" t="s">
        <v>44</v>
      </c>
      <c r="M168" s="11">
        <v>3.1</v>
      </c>
    </row>
    <row r="169" spans="11:13" x14ac:dyDescent="0.2">
      <c r="K169" s="5"/>
      <c r="L169" s="12" t="s">
        <v>45</v>
      </c>
      <c r="M169" s="13">
        <v>4.2</v>
      </c>
    </row>
    <row r="170" spans="11:13" x14ac:dyDescent="0.2">
      <c r="K170" s="2" t="s">
        <v>34</v>
      </c>
      <c r="L170" t="s">
        <v>44</v>
      </c>
      <c r="M170" s="11">
        <v>4.3</v>
      </c>
    </row>
    <row r="171" spans="11:13" x14ac:dyDescent="0.2">
      <c r="K171" s="5"/>
      <c r="L171" s="12" t="s">
        <v>45</v>
      </c>
      <c r="M171" s="13">
        <v>10.1</v>
      </c>
    </row>
    <row r="172" spans="11:13" x14ac:dyDescent="0.2">
      <c r="K172" s="2" t="s">
        <v>35</v>
      </c>
      <c r="L172" t="s">
        <v>44</v>
      </c>
      <c r="M172" s="11">
        <v>2.6</v>
      </c>
    </row>
    <row r="173" spans="11:13" x14ac:dyDescent="0.2">
      <c r="K173" s="5"/>
      <c r="L173" s="12" t="s">
        <v>45</v>
      </c>
      <c r="M173" s="13">
        <v>8</v>
      </c>
    </row>
    <row r="174" spans="11:13" x14ac:dyDescent="0.2">
      <c r="K174" s="2" t="s">
        <v>36</v>
      </c>
      <c r="L174" t="s">
        <v>44</v>
      </c>
      <c r="M174" s="11">
        <v>6.1</v>
      </c>
    </row>
    <row r="175" spans="11:13" x14ac:dyDescent="0.2">
      <c r="K175" s="5"/>
      <c r="L175" s="12" t="s">
        <v>45</v>
      </c>
      <c r="M175" s="13">
        <v>3.8</v>
      </c>
    </row>
    <row r="176" spans="11:13" x14ac:dyDescent="0.2">
      <c r="K176" s="2" t="s">
        <v>37</v>
      </c>
      <c r="L176" t="s">
        <v>44</v>
      </c>
      <c r="M176" s="11">
        <v>6.1</v>
      </c>
    </row>
    <row r="177" spans="11:13" x14ac:dyDescent="0.2">
      <c r="K177" s="5"/>
      <c r="L177" s="12" t="s">
        <v>45</v>
      </c>
      <c r="M177" s="13">
        <v>7.1</v>
      </c>
    </row>
    <row r="178" spans="11:13" x14ac:dyDescent="0.2">
      <c r="K178" s="2" t="s">
        <v>38</v>
      </c>
      <c r="L178" t="s">
        <v>44</v>
      </c>
      <c r="M178" s="11">
        <v>5.9</v>
      </c>
    </row>
    <row r="179" spans="11:13" x14ac:dyDescent="0.2">
      <c r="K179" s="5"/>
      <c r="L179" s="12" t="s">
        <v>45</v>
      </c>
      <c r="M179" s="13">
        <v>3.9</v>
      </c>
    </row>
    <row r="194" spans="11:14" x14ac:dyDescent="0.2">
      <c r="K194" s="2" t="s">
        <v>26</v>
      </c>
      <c r="L194" t="s">
        <v>44</v>
      </c>
      <c r="M194" s="11">
        <v>73.099999999999994</v>
      </c>
      <c r="N194" s="10" t="s">
        <v>40</v>
      </c>
    </row>
    <row r="195" spans="11:14" x14ac:dyDescent="0.2">
      <c r="K195" s="5"/>
      <c r="L195" s="12" t="s">
        <v>45</v>
      </c>
      <c r="M195" s="13">
        <v>76.599999999999994</v>
      </c>
    </row>
    <row r="196" spans="11:14" x14ac:dyDescent="0.2">
      <c r="K196" s="2" t="s">
        <v>27</v>
      </c>
      <c r="L196" t="s">
        <v>44</v>
      </c>
      <c r="M196" s="11">
        <v>49.9</v>
      </c>
    </row>
    <row r="197" spans="11:14" x14ac:dyDescent="0.2">
      <c r="K197" s="5"/>
      <c r="L197" s="12" t="s">
        <v>45</v>
      </c>
      <c r="M197" s="13">
        <v>42.2</v>
      </c>
    </row>
    <row r="198" spans="11:14" x14ac:dyDescent="0.2">
      <c r="K198" s="2" t="s">
        <v>28</v>
      </c>
      <c r="L198" t="s">
        <v>44</v>
      </c>
      <c r="M198" s="11">
        <v>32</v>
      </c>
    </row>
    <row r="199" spans="11:14" x14ac:dyDescent="0.2">
      <c r="K199" s="5"/>
      <c r="L199" s="12" t="s">
        <v>45</v>
      </c>
      <c r="M199" s="13">
        <v>32.5</v>
      </c>
    </row>
    <row r="200" spans="11:14" x14ac:dyDescent="0.2">
      <c r="K200" s="2" t="s">
        <v>29</v>
      </c>
      <c r="L200" t="s">
        <v>44</v>
      </c>
      <c r="M200" s="11">
        <v>43.7</v>
      </c>
    </row>
    <row r="201" spans="11:14" x14ac:dyDescent="0.2">
      <c r="K201" s="5"/>
      <c r="L201" s="12" t="s">
        <v>45</v>
      </c>
      <c r="M201" s="13">
        <v>40.299999999999997</v>
      </c>
    </row>
    <row r="202" spans="11:14" x14ac:dyDescent="0.2">
      <c r="K202" s="2" t="s">
        <v>30</v>
      </c>
      <c r="L202" t="s">
        <v>44</v>
      </c>
      <c r="M202" s="11">
        <v>44.4</v>
      </c>
    </row>
    <row r="203" spans="11:14" x14ac:dyDescent="0.2">
      <c r="K203" s="5"/>
      <c r="L203" s="12" t="s">
        <v>45</v>
      </c>
      <c r="M203" s="13">
        <v>39.6</v>
      </c>
    </row>
    <row r="204" spans="11:14" x14ac:dyDescent="0.2">
      <c r="K204" s="2" t="s">
        <v>31</v>
      </c>
      <c r="L204" t="s">
        <v>44</v>
      </c>
      <c r="M204" s="11">
        <v>35.5</v>
      </c>
    </row>
    <row r="205" spans="11:14" x14ac:dyDescent="0.2">
      <c r="K205" s="5"/>
      <c r="L205" s="12" t="s">
        <v>45</v>
      </c>
      <c r="M205" s="13">
        <v>28.6</v>
      </c>
    </row>
    <row r="206" spans="11:14" x14ac:dyDescent="0.2">
      <c r="K206" s="2" t="s">
        <v>32</v>
      </c>
      <c r="L206" t="s">
        <v>44</v>
      </c>
      <c r="M206" s="11">
        <v>60.4</v>
      </c>
    </row>
    <row r="207" spans="11:14" x14ac:dyDescent="0.2">
      <c r="K207" s="5"/>
      <c r="L207" s="12" t="s">
        <v>45</v>
      </c>
      <c r="M207" s="13">
        <v>51.8</v>
      </c>
    </row>
    <row r="208" spans="11:14" x14ac:dyDescent="0.2">
      <c r="K208" s="2" t="s">
        <v>33</v>
      </c>
      <c r="L208" t="s">
        <v>44</v>
      </c>
      <c r="M208" s="11">
        <v>46.9</v>
      </c>
    </row>
    <row r="209" spans="11:13" x14ac:dyDescent="0.2">
      <c r="K209" s="5"/>
      <c r="L209" s="12" t="s">
        <v>45</v>
      </c>
      <c r="M209" s="13">
        <v>40.6</v>
      </c>
    </row>
    <row r="210" spans="11:13" x14ac:dyDescent="0.2">
      <c r="K210" s="2" t="s">
        <v>34</v>
      </c>
      <c r="L210" t="s">
        <v>44</v>
      </c>
      <c r="M210" s="11">
        <v>29.6</v>
      </c>
    </row>
    <row r="211" spans="11:13" x14ac:dyDescent="0.2">
      <c r="K211" s="5"/>
      <c r="L211" s="12" t="s">
        <v>45</v>
      </c>
      <c r="M211" s="13">
        <v>22.8</v>
      </c>
    </row>
    <row r="212" spans="11:13" x14ac:dyDescent="0.2">
      <c r="K212" s="2" t="s">
        <v>35</v>
      </c>
      <c r="L212" t="s">
        <v>44</v>
      </c>
      <c r="M212" s="11">
        <v>60.1</v>
      </c>
    </row>
    <row r="213" spans="11:13" x14ac:dyDescent="0.2">
      <c r="K213" s="5"/>
      <c r="L213" s="12" t="s">
        <v>45</v>
      </c>
      <c r="M213" s="13">
        <v>67.599999999999994</v>
      </c>
    </row>
    <row r="214" spans="11:13" x14ac:dyDescent="0.2">
      <c r="K214" s="2" t="s">
        <v>36</v>
      </c>
      <c r="L214" t="s">
        <v>44</v>
      </c>
      <c r="M214" s="11">
        <v>63.9</v>
      </c>
    </row>
    <row r="215" spans="11:13" x14ac:dyDescent="0.2">
      <c r="K215" s="5"/>
      <c r="L215" s="12" t="s">
        <v>45</v>
      </c>
      <c r="M215" s="13">
        <v>70.900000000000006</v>
      </c>
    </row>
    <row r="216" spans="11:13" x14ac:dyDescent="0.2">
      <c r="K216" s="2" t="s">
        <v>37</v>
      </c>
      <c r="L216" t="s">
        <v>44</v>
      </c>
      <c r="M216" s="11">
        <v>52.5</v>
      </c>
    </row>
    <row r="217" spans="11:13" x14ac:dyDescent="0.2">
      <c r="K217" s="5"/>
      <c r="L217" s="12" t="s">
        <v>45</v>
      </c>
      <c r="M217" s="13">
        <v>34.200000000000003</v>
      </c>
    </row>
    <row r="218" spans="11:13" x14ac:dyDescent="0.2">
      <c r="K218" s="2" t="s">
        <v>38</v>
      </c>
      <c r="L218" t="s">
        <v>44</v>
      </c>
      <c r="M218" s="11">
        <v>53.7</v>
      </c>
    </row>
    <row r="219" spans="11:13" x14ac:dyDescent="0.2">
      <c r="K219" s="5"/>
      <c r="L219" s="12" t="s">
        <v>45</v>
      </c>
      <c r="M219" s="13">
        <v>44.9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J1:N220"/>
  <sheetViews>
    <sheetView topLeftCell="A47" zoomScale="90" zoomScaleNormal="90" workbookViewId="0">
      <selection activeCell="M67" sqref="M67"/>
    </sheetView>
  </sheetViews>
  <sheetFormatPr baseColWidth="10" defaultColWidth="8.83203125" defaultRowHeight="15" x14ac:dyDescent="0.2"/>
  <cols>
    <col min="1" max="10" width="10.6640625" customWidth="1"/>
    <col min="11" max="11" width="6.5" customWidth="1"/>
    <col min="12" max="12" width="20.5" bestFit="1" customWidth="1"/>
    <col min="13" max="13" width="9.1640625" style="11"/>
  </cols>
  <sheetData>
    <row r="1" spans="10:14" ht="16" x14ac:dyDescent="0.2">
      <c r="J1" s="1"/>
      <c r="K1" s="2"/>
      <c r="M1" s="25" t="s">
        <v>41</v>
      </c>
    </row>
    <row r="2" spans="10:14" x14ac:dyDescent="0.2">
      <c r="J2" s="1"/>
      <c r="K2" s="2">
        <v>13</v>
      </c>
      <c r="L2" t="s">
        <v>65</v>
      </c>
      <c r="M2" s="11">
        <f>3.2+2.2</f>
        <v>5.4</v>
      </c>
    </row>
    <row r="3" spans="10:14" x14ac:dyDescent="0.2">
      <c r="J3" s="1"/>
      <c r="K3" s="5"/>
      <c r="L3" s="12" t="s">
        <v>46</v>
      </c>
      <c r="M3" s="13">
        <f>0.2+1.7</f>
        <v>1.9</v>
      </c>
    </row>
    <row r="4" spans="10:14" x14ac:dyDescent="0.2">
      <c r="J4" s="1"/>
      <c r="K4" s="2">
        <v>14</v>
      </c>
      <c r="L4" t="s">
        <v>65</v>
      </c>
      <c r="M4" s="11">
        <f>14.1+6</f>
        <v>20.100000000000001</v>
      </c>
    </row>
    <row r="5" spans="10:14" x14ac:dyDescent="0.2">
      <c r="J5" s="1"/>
      <c r="K5" s="5"/>
      <c r="L5" s="12" t="s">
        <v>46</v>
      </c>
      <c r="M5" s="13">
        <f>0.6+0.3</f>
        <v>0.89999999999999991</v>
      </c>
    </row>
    <row r="6" spans="10:14" ht="21" customHeight="1" x14ac:dyDescent="0.2">
      <c r="J6" s="1"/>
      <c r="K6" s="2"/>
    </row>
    <row r="7" spans="10:14" x14ac:dyDescent="0.2">
      <c r="J7" s="1"/>
      <c r="K7" s="2"/>
    </row>
    <row r="8" spans="10:14" x14ac:dyDescent="0.2">
      <c r="J8" s="1"/>
      <c r="K8" s="2"/>
    </row>
    <row r="9" spans="10:14" x14ac:dyDescent="0.2">
      <c r="J9" s="1"/>
      <c r="K9" s="2"/>
    </row>
    <row r="10" spans="10:14" x14ac:dyDescent="0.2">
      <c r="J10" s="1"/>
      <c r="K10" s="2"/>
    </row>
    <row r="11" spans="10:14" x14ac:dyDescent="0.2">
      <c r="J11" s="1"/>
      <c r="K11" s="2"/>
    </row>
    <row r="12" spans="10:14" x14ac:dyDescent="0.2">
      <c r="J12" s="1"/>
    </row>
    <row r="13" spans="10:14" x14ac:dyDescent="0.2">
      <c r="J13" s="1"/>
    </row>
    <row r="14" spans="10:14" x14ac:dyDescent="0.2">
      <c r="J14" s="1"/>
    </row>
    <row r="15" spans="10:14" x14ac:dyDescent="0.2">
      <c r="J15" s="1"/>
      <c r="N15" s="15"/>
    </row>
    <row r="16" spans="10:14" x14ac:dyDescent="0.2">
      <c r="J16" s="1"/>
      <c r="K16" s="2" t="s">
        <v>0</v>
      </c>
      <c r="L16" t="s">
        <v>65</v>
      </c>
      <c r="M16" s="11">
        <v>27.6</v>
      </c>
    </row>
    <row r="17" spans="10:13" x14ac:dyDescent="0.2">
      <c r="J17" s="1"/>
      <c r="K17" s="5"/>
      <c r="L17" s="12" t="s">
        <v>46</v>
      </c>
      <c r="M17" s="13">
        <v>16.2</v>
      </c>
    </row>
    <row r="18" spans="10:13" x14ac:dyDescent="0.2">
      <c r="J18" s="1"/>
      <c r="K18" s="2">
        <v>20</v>
      </c>
      <c r="L18" t="s">
        <v>65</v>
      </c>
      <c r="M18" s="11">
        <v>31.7</v>
      </c>
    </row>
    <row r="19" spans="10:13" x14ac:dyDescent="0.2">
      <c r="J19" s="1"/>
      <c r="K19" s="5"/>
      <c r="L19" s="12" t="s">
        <v>46</v>
      </c>
      <c r="M19" s="13">
        <v>15.6</v>
      </c>
    </row>
    <row r="20" spans="10:13" x14ac:dyDescent="0.2">
      <c r="J20" s="1"/>
    </row>
    <row r="21" spans="10:13" x14ac:dyDescent="0.2">
      <c r="J21" s="1"/>
    </row>
    <row r="22" spans="10:13" x14ac:dyDescent="0.2">
      <c r="J22" s="1"/>
    </row>
    <row r="23" spans="10:13" x14ac:dyDescent="0.2">
      <c r="J23" s="1"/>
    </row>
    <row r="24" spans="10:13" x14ac:dyDescent="0.2">
      <c r="J24" s="1"/>
    </row>
    <row r="25" spans="10:13" x14ac:dyDescent="0.2">
      <c r="J25" s="1"/>
    </row>
    <row r="26" spans="10:13" x14ac:dyDescent="0.2">
      <c r="J26" s="1"/>
    </row>
    <row r="27" spans="10:13" x14ac:dyDescent="0.2">
      <c r="J27" s="1"/>
    </row>
    <row r="28" spans="10:13" x14ac:dyDescent="0.2">
      <c r="J28" s="1"/>
      <c r="K28" s="2" t="s">
        <v>1</v>
      </c>
      <c r="L28" t="s">
        <v>65</v>
      </c>
      <c r="M28" s="11">
        <f>3.5+21.3</f>
        <v>24.8</v>
      </c>
    </row>
    <row r="29" spans="10:13" x14ac:dyDescent="0.2">
      <c r="J29" s="1"/>
      <c r="K29" s="5"/>
      <c r="L29" s="12" t="s">
        <v>46</v>
      </c>
      <c r="M29" s="13">
        <f>1.9+21.9</f>
        <v>23.799999999999997</v>
      </c>
    </row>
    <row r="30" spans="10:13" x14ac:dyDescent="0.2">
      <c r="J30" s="1"/>
      <c r="K30" s="2" t="s">
        <v>2</v>
      </c>
      <c r="L30" t="s">
        <v>65</v>
      </c>
      <c r="M30" s="11">
        <f>4.5+16.2</f>
        <v>20.7</v>
      </c>
    </row>
    <row r="31" spans="10:13" x14ac:dyDescent="0.2">
      <c r="J31" s="1"/>
      <c r="K31" s="5"/>
      <c r="L31" s="12" t="s">
        <v>46</v>
      </c>
      <c r="M31" s="13">
        <f>5.6+20.1</f>
        <v>25.700000000000003</v>
      </c>
    </row>
    <row r="32" spans="10:13" x14ac:dyDescent="0.2">
      <c r="J32" s="1"/>
      <c r="K32" s="2" t="s">
        <v>3</v>
      </c>
      <c r="L32" t="s">
        <v>65</v>
      </c>
      <c r="M32" s="11">
        <f>13.1+25.5</f>
        <v>38.6</v>
      </c>
    </row>
    <row r="33" spans="10:13" x14ac:dyDescent="0.2">
      <c r="J33" s="1"/>
      <c r="K33" s="5"/>
      <c r="L33" s="12" t="s">
        <v>46</v>
      </c>
      <c r="M33" s="13">
        <f>13.8+21.9</f>
        <v>35.700000000000003</v>
      </c>
    </row>
    <row r="34" spans="10:13" x14ac:dyDescent="0.2">
      <c r="J34" s="1"/>
      <c r="K34" s="2" t="s">
        <v>4</v>
      </c>
      <c r="L34" t="s">
        <v>65</v>
      </c>
      <c r="M34" s="11">
        <f>34.7+39.5</f>
        <v>74.2</v>
      </c>
    </row>
    <row r="35" spans="10:13" x14ac:dyDescent="0.2">
      <c r="J35" s="1"/>
      <c r="K35" s="5"/>
      <c r="L35" s="12" t="s">
        <v>46</v>
      </c>
      <c r="M35" s="13">
        <f>35.9+31.7</f>
        <v>67.599999999999994</v>
      </c>
    </row>
    <row r="36" spans="10:13" x14ac:dyDescent="0.2">
      <c r="J36" s="1"/>
      <c r="K36" s="2" t="s">
        <v>5</v>
      </c>
      <c r="L36" t="s">
        <v>65</v>
      </c>
      <c r="M36" s="11">
        <f>21.1+38.6</f>
        <v>59.7</v>
      </c>
    </row>
    <row r="37" spans="10:13" x14ac:dyDescent="0.2">
      <c r="J37" s="1"/>
      <c r="K37" s="5"/>
      <c r="L37" s="12" t="s">
        <v>46</v>
      </c>
      <c r="M37" s="13">
        <f>20.6+39.5</f>
        <v>60.1</v>
      </c>
    </row>
    <row r="38" spans="10:13" x14ac:dyDescent="0.2">
      <c r="J38" s="1"/>
      <c r="K38" s="2" t="s">
        <v>6</v>
      </c>
      <c r="L38" t="s">
        <v>65</v>
      </c>
      <c r="M38" s="11">
        <f>25+32.2</f>
        <v>57.2</v>
      </c>
    </row>
    <row r="39" spans="10:13" x14ac:dyDescent="0.2">
      <c r="J39" s="1"/>
      <c r="K39" s="5"/>
      <c r="L39" s="12" t="s">
        <v>46</v>
      </c>
      <c r="M39" s="13">
        <f>19.4+31.8</f>
        <v>51.2</v>
      </c>
    </row>
    <row r="40" spans="10:13" x14ac:dyDescent="0.2">
      <c r="J40" s="1"/>
      <c r="K40" s="2">
        <v>21</v>
      </c>
      <c r="L40" t="s">
        <v>65</v>
      </c>
      <c r="M40" s="11">
        <v>48.8</v>
      </c>
    </row>
    <row r="41" spans="10:13" x14ac:dyDescent="0.2">
      <c r="J41" s="1"/>
      <c r="K41" s="5"/>
      <c r="L41" s="12" t="s">
        <v>46</v>
      </c>
      <c r="M41" s="13">
        <v>45.7</v>
      </c>
    </row>
    <row r="42" spans="10:13" x14ac:dyDescent="0.2">
      <c r="J42" s="1"/>
      <c r="K42" s="2">
        <v>22</v>
      </c>
      <c r="L42" t="s">
        <v>65</v>
      </c>
      <c r="M42" s="11">
        <f>11.3+12.4+0.2+0.1</f>
        <v>24.000000000000004</v>
      </c>
    </row>
    <row r="43" spans="10:13" x14ac:dyDescent="0.2">
      <c r="J43" s="1"/>
      <c r="K43" s="5"/>
      <c r="L43" s="12" t="s">
        <v>46</v>
      </c>
      <c r="M43" s="13">
        <f>6.3+10.9+0.3+0.1</f>
        <v>17.600000000000001</v>
      </c>
    </row>
    <row r="44" spans="10:13" x14ac:dyDescent="0.2">
      <c r="J44" s="1"/>
      <c r="K44" s="2"/>
    </row>
    <row r="45" spans="10:13" x14ac:dyDescent="0.2">
      <c r="J45" s="1"/>
      <c r="K45" s="2"/>
    </row>
    <row r="46" spans="10:13" x14ac:dyDescent="0.2">
      <c r="J46" s="1"/>
      <c r="K46" s="2"/>
    </row>
    <row r="47" spans="10:13" x14ac:dyDescent="0.2">
      <c r="J47" s="1"/>
    </row>
    <row r="48" spans="10:13" x14ac:dyDescent="0.2">
      <c r="J48" s="1"/>
    </row>
    <row r="49" spans="10:13" x14ac:dyDescent="0.2">
      <c r="J49" s="1"/>
    </row>
    <row r="50" spans="10:13" x14ac:dyDescent="0.2">
      <c r="J50" s="1"/>
    </row>
    <row r="51" spans="10:13" x14ac:dyDescent="0.2">
      <c r="J51" s="1"/>
    </row>
    <row r="52" spans="10:13" x14ac:dyDescent="0.2">
      <c r="J52" s="1"/>
    </row>
    <row r="53" spans="10:13" x14ac:dyDescent="0.2">
      <c r="J53" s="1"/>
    </row>
    <row r="54" spans="10:13" x14ac:dyDescent="0.2">
      <c r="J54" s="1"/>
    </row>
    <row r="55" spans="10:13" x14ac:dyDescent="0.2">
      <c r="J55" s="1"/>
    </row>
    <row r="56" spans="10:13" x14ac:dyDescent="0.2">
      <c r="J56" s="1"/>
    </row>
    <row r="57" spans="10:13" x14ac:dyDescent="0.2">
      <c r="J57" s="1"/>
      <c r="K57" s="2" t="s">
        <v>7</v>
      </c>
      <c r="L57" t="s">
        <v>65</v>
      </c>
      <c r="M57" s="11">
        <f>0.3+42</f>
        <v>42.3</v>
      </c>
    </row>
    <row r="58" spans="10:13" x14ac:dyDescent="0.2">
      <c r="J58" s="1"/>
      <c r="K58" s="5"/>
      <c r="L58" s="12" t="s">
        <v>46</v>
      </c>
      <c r="M58" s="13">
        <f>3+44.9</f>
        <v>47.9</v>
      </c>
    </row>
    <row r="59" spans="10:13" x14ac:dyDescent="0.2">
      <c r="J59" s="1"/>
      <c r="K59" s="2" t="s">
        <v>8</v>
      </c>
      <c r="L59" t="s">
        <v>65</v>
      </c>
      <c r="M59" s="11">
        <v>29.4</v>
      </c>
    </row>
    <row r="60" spans="10:13" x14ac:dyDescent="0.2">
      <c r="J60" s="1"/>
      <c r="K60" s="5"/>
      <c r="L60" s="12" t="s">
        <v>46</v>
      </c>
      <c r="M60" s="13">
        <v>23.4</v>
      </c>
    </row>
    <row r="61" spans="10:13" x14ac:dyDescent="0.2">
      <c r="J61" s="1"/>
      <c r="K61" s="2" t="s">
        <v>9</v>
      </c>
      <c r="L61" t="s">
        <v>65</v>
      </c>
      <c r="M61" s="11">
        <f>85+10</f>
        <v>95</v>
      </c>
    </row>
    <row r="62" spans="10:13" x14ac:dyDescent="0.2">
      <c r="J62" s="1"/>
      <c r="K62" s="5"/>
      <c r="L62" s="12" t="s">
        <v>46</v>
      </c>
      <c r="M62" s="13">
        <f>87.1+8.6</f>
        <v>95.699999999999989</v>
      </c>
    </row>
    <row r="63" spans="10:13" x14ac:dyDescent="0.2">
      <c r="J63" s="1"/>
      <c r="K63" s="2" t="s">
        <v>10</v>
      </c>
      <c r="L63" t="s">
        <v>65</v>
      </c>
      <c r="M63" s="11">
        <v>15.5</v>
      </c>
    </row>
    <row r="64" spans="10:13" x14ac:dyDescent="0.2">
      <c r="J64" s="1"/>
      <c r="K64" s="5"/>
      <c r="L64" s="12" t="s">
        <v>46</v>
      </c>
      <c r="M64" s="13">
        <v>11.5</v>
      </c>
    </row>
    <row r="65" spans="10:13" x14ac:dyDescent="0.2">
      <c r="J65" s="1"/>
      <c r="K65" s="2" t="s">
        <v>11</v>
      </c>
      <c r="L65" t="s">
        <v>65</v>
      </c>
      <c r="M65" s="11">
        <v>27.8</v>
      </c>
    </row>
    <row r="66" spans="10:13" x14ac:dyDescent="0.2">
      <c r="J66" s="1"/>
      <c r="K66" s="5"/>
      <c r="L66" s="12" t="s">
        <v>46</v>
      </c>
      <c r="M66" s="13">
        <v>24.5</v>
      </c>
    </row>
    <row r="67" spans="10:13" x14ac:dyDescent="0.2">
      <c r="J67" s="1"/>
      <c r="K67" s="2" t="s">
        <v>12</v>
      </c>
      <c r="L67" t="s">
        <v>65</v>
      </c>
      <c r="M67" s="11">
        <f>22.1+27</f>
        <v>49.1</v>
      </c>
    </row>
    <row r="68" spans="10:13" x14ac:dyDescent="0.2">
      <c r="J68" s="1"/>
      <c r="K68" s="5"/>
      <c r="L68" s="12" t="s">
        <v>46</v>
      </c>
      <c r="M68" s="13">
        <f>18.7+20.6</f>
        <v>39.299999999999997</v>
      </c>
    </row>
    <row r="69" spans="10:13" x14ac:dyDescent="0.2">
      <c r="J69" s="1"/>
      <c r="K69" s="2" t="s">
        <v>13</v>
      </c>
      <c r="L69" t="s">
        <v>65</v>
      </c>
      <c r="M69" s="11">
        <f>15.1+17.2</f>
        <v>32.299999999999997</v>
      </c>
    </row>
    <row r="70" spans="10:13" x14ac:dyDescent="0.2">
      <c r="J70" s="1"/>
      <c r="K70" s="5"/>
      <c r="L70" s="12" t="s">
        <v>46</v>
      </c>
      <c r="M70" s="13">
        <f>20.6+13.4</f>
        <v>34</v>
      </c>
    </row>
    <row r="71" spans="10:13" x14ac:dyDescent="0.2">
      <c r="J71" s="1"/>
      <c r="K71" s="2" t="s">
        <v>14</v>
      </c>
      <c r="L71" t="s">
        <v>65</v>
      </c>
      <c r="M71" s="11">
        <f>7+12.7</f>
        <v>19.7</v>
      </c>
    </row>
    <row r="72" spans="10:13" x14ac:dyDescent="0.2">
      <c r="J72" s="1"/>
      <c r="K72" s="5"/>
      <c r="L72" s="12" t="s">
        <v>46</v>
      </c>
      <c r="M72" s="13">
        <f>14.5+7.7</f>
        <v>22.2</v>
      </c>
    </row>
    <row r="73" spans="10:13" x14ac:dyDescent="0.2">
      <c r="J73" s="1"/>
      <c r="K73" s="2" t="s">
        <v>15</v>
      </c>
      <c r="L73" t="s">
        <v>65</v>
      </c>
      <c r="M73" s="11">
        <f>15.7+37.5</f>
        <v>53.2</v>
      </c>
    </row>
    <row r="74" spans="10:13" x14ac:dyDescent="0.2">
      <c r="J74" s="1"/>
      <c r="K74" s="5"/>
      <c r="L74" s="12" t="s">
        <v>46</v>
      </c>
      <c r="M74" s="13">
        <f>21.3+23</f>
        <v>44.3</v>
      </c>
    </row>
    <row r="75" spans="10:13" x14ac:dyDescent="0.2">
      <c r="J75" s="1"/>
      <c r="K75" s="2" t="s">
        <v>16</v>
      </c>
      <c r="L75" t="s">
        <v>65</v>
      </c>
      <c r="M75" s="11">
        <f>16.2+34.6</f>
        <v>50.8</v>
      </c>
    </row>
    <row r="76" spans="10:13" x14ac:dyDescent="0.2">
      <c r="J76" s="1"/>
      <c r="K76" s="5"/>
      <c r="L76" s="12" t="s">
        <v>46</v>
      </c>
      <c r="M76" s="13">
        <f>19.7+35.5</f>
        <v>55.2</v>
      </c>
    </row>
    <row r="77" spans="10:13" x14ac:dyDescent="0.2">
      <c r="J77" s="1"/>
      <c r="K77" s="2"/>
    </row>
    <row r="78" spans="10:13" x14ac:dyDescent="0.2">
      <c r="J78" s="1"/>
      <c r="K78" s="2"/>
    </row>
    <row r="80" spans="10:13" x14ac:dyDescent="0.2">
      <c r="J80" s="1"/>
    </row>
    <row r="81" spans="10:13" x14ac:dyDescent="0.2">
      <c r="J81" s="1"/>
    </row>
    <row r="82" spans="10:13" x14ac:dyDescent="0.2">
      <c r="J82" s="1"/>
    </row>
    <row r="83" spans="10:13" x14ac:dyDescent="0.2">
      <c r="J83" s="1"/>
    </row>
    <row r="84" spans="10:13" x14ac:dyDescent="0.2">
      <c r="J84" s="1"/>
    </row>
    <row r="85" spans="10:13" x14ac:dyDescent="0.2">
      <c r="J85" s="1"/>
    </row>
    <row r="86" spans="10:13" x14ac:dyDescent="0.2">
      <c r="J86" s="1"/>
    </row>
    <row r="87" spans="10:13" x14ac:dyDescent="0.2">
      <c r="J87" s="1"/>
    </row>
    <row r="88" spans="10:13" x14ac:dyDescent="0.2">
      <c r="J88" s="1"/>
      <c r="K88" s="2" t="s">
        <v>17</v>
      </c>
      <c r="L88" t="s">
        <v>65</v>
      </c>
      <c r="M88" s="11">
        <v>36.6</v>
      </c>
    </row>
    <row r="89" spans="10:13" x14ac:dyDescent="0.2">
      <c r="J89" s="1"/>
      <c r="K89" s="5"/>
      <c r="L89" s="12" t="s">
        <v>46</v>
      </c>
      <c r="M89" s="13">
        <v>43.3</v>
      </c>
    </row>
    <row r="90" spans="10:13" x14ac:dyDescent="0.2">
      <c r="J90" s="1"/>
      <c r="K90" s="2" t="s">
        <v>18</v>
      </c>
      <c r="L90" t="s">
        <v>65</v>
      </c>
      <c r="M90" s="11">
        <v>36.9</v>
      </c>
    </row>
    <row r="91" spans="10:13" x14ac:dyDescent="0.2">
      <c r="J91" s="1"/>
      <c r="K91" s="5"/>
      <c r="L91" s="12" t="s">
        <v>46</v>
      </c>
      <c r="M91" s="13">
        <v>26.6</v>
      </c>
    </row>
    <row r="92" spans="10:13" x14ac:dyDescent="0.2">
      <c r="J92" s="1"/>
      <c r="K92" s="2" t="s">
        <v>19</v>
      </c>
      <c r="L92" t="s">
        <v>65</v>
      </c>
      <c r="M92" s="11">
        <v>3.7</v>
      </c>
    </row>
    <row r="93" spans="10:13" x14ac:dyDescent="0.2">
      <c r="J93" s="1"/>
      <c r="K93" s="5"/>
      <c r="L93" s="12" t="s">
        <v>46</v>
      </c>
      <c r="M93" s="13">
        <v>7</v>
      </c>
    </row>
    <row r="94" spans="10:13" x14ac:dyDescent="0.2">
      <c r="J94" s="1"/>
      <c r="K94" s="2" t="s">
        <v>20</v>
      </c>
      <c r="L94" t="s">
        <v>65</v>
      </c>
      <c r="M94" s="11">
        <v>18.5</v>
      </c>
    </row>
    <row r="95" spans="10:13" x14ac:dyDescent="0.2">
      <c r="J95" s="1"/>
      <c r="K95" s="5"/>
      <c r="L95" s="12" t="s">
        <v>46</v>
      </c>
      <c r="M95" s="13">
        <v>13.7</v>
      </c>
    </row>
    <row r="96" spans="10:13" x14ac:dyDescent="0.2">
      <c r="J96" s="1"/>
      <c r="K96" s="2" t="s">
        <v>21</v>
      </c>
      <c r="L96" t="s">
        <v>65</v>
      </c>
      <c r="M96" s="11">
        <v>22.7</v>
      </c>
    </row>
    <row r="97" spans="10:13" x14ac:dyDescent="0.2">
      <c r="J97" s="1"/>
      <c r="K97" s="5"/>
      <c r="L97" s="12" t="s">
        <v>46</v>
      </c>
      <c r="M97" s="13">
        <v>22.3</v>
      </c>
    </row>
    <row r="98" spans="10:13" x14ac:dyDescent="0.2">
      <c r="J98" s="1"/>
      <c r="K98" s="2" t="s">
        <v>22</v>
      </c>
      <c r="L98" t="s">
        <v>65</v>
      </c>
      <c r="M98" s="11">
        <v>6.2</v>
      </c>
    </row>
    <row r="99" spans="10:13" x14ac:dyDescent="0.2">
      <c r="J99" s="1"/>
      <c r="K99" s="5"/>
      <c r="L99" s="12" t="s">
        <v>46</v>
      </c>
      <c r="M99" s="13">
        <v>6.5</v>
      </c>
    </row>
    <row r="100" spans="10:13" x14ac:dyDescent="0.2">
      <c r="J100" s="1"/>
      <c r="K100" s="2" t="s">
        <v>23</v>
      </c>
      <c r="L100" t="s">
        <v>65</v>
      </c>
      <c r="M100" s="11">
        <v>2.8</v>
      </c>
    </row>
    <row r="101" spans="10:13" x14ac:dyDescent="0.2">
      <c r="J101" s="1"/>
      <c r="K101" s="5"/>
      <c r="L101" s="12" t="s">
        <v>46</v>
      </c>
      <c r="M101" s="13">
        <v>7.7</v>
      </c>
    </row>
    <row r="102" spans="10:13" x14ac:dyDescent="0.2">
      <c r="J102" s="1"/>
      <c r="K102" s="2" t="s">
        <v>24</v>
      </c>
      <c r="L102" t="s">
        <v>65</v>
      </c>
      <c r="M102" s="11">
        <v>5.0999999999999996</v>
      </c>
    </row>
    <row r="103" spans="10:13" x14ac:dyDescent="0.2">
      <c r="J103" s="1"/>
      <c r="K103" s="5"/>
      <c r="L103" s="12" t="s">
        <v>46</v>
      </c>
      <c r="M103" s="13">
        <v>5.5</v>
      </c>
    </row>
    <row r="104" spans="10:13" x14ac:dyDescent="0.2">
      <c r="J104" s="1"/>
      <c r="K104" s="2"/>
    </row>
    <row r="105" spans="10:13" x14ac:dyDescent="0.2">
      <c r="J105" s="1"/>
      <c r="K105" s="2"/>
    </row>
    <row r="107" spans="10:13" x14ac:dyDescent="0.2">
      <c r="J107" s="1"/>
    </row>
    <row r="108" spans="10:13" x14ac:dyDescent="0.2">
      <c r="J108" s="1"/>
    </row>
    <row r="109" spans="10:13" x14ac:dyDescent="0.2">
      <c r="J109" s="1"/>
    </row>
    <row r="110" spans="10:13" x14ac:dyDescent="0.2">
      <c r="J110" s="1"/>
    </row>
    <row r="111" spans="10:13" x14ac:dyDescent="0.2">
      <c r="J111" s="1"/>
    </row>
    <row r="112" spans="10:13" x14ac:dyDescent="0.2">
      <c r="J112" s="1"/>
    </row>
    <row r="113" spans="10:14" x14ac:dyDescent="0.2">
      <c r="J113" s="1"/>
    </row>
    <row r="114" spans="10:14" x14ac:dyDescent="0.2">
      <c r="J114" s="1"/>
      <c r="K114" s="2" t="s">
        <v>26</v>
      </c>
      <c r="L114" t="s">
        <v>65</v>
      </c>
      <c r="M114" s="11">
        <v>13.4</v>
      </c>
      <c r="N114" s="10" t="s">
        <v>25</v>
      </c>
    </row>
    <row r="115" spans="10:14" x14ac:dyDescent="0.2">
      <c r="J115" s="1"/>
      <c r="K115" s="5"/>
      <c r="L115" s="12" t="s">
        <v>46</v>
      </c>
      <c r="M115" s="13">
        <v>9</v>
      </c>
    </row>
    <row r="116" spans="10:14" x14ac:dyDescent="0.2">
      <c r="J116" s="1"/>
      <c r="K116" s="2" t="s">
        <v>27</v>
      </c>
      <c r="L116" t="s">
        <v>65</v>
      </c>
      <c r="M116" s="11">
        <v>63.8</v>
      </c>
    </row>
    <row r="117" spans="10:14" x14ac:dyDescent="0.2">
      <c r="J117" s="1"/>
      <c r="K117" s="5"/>
      <c r="L117" s="12" t="s">
        <v>46</v>
      </c>
      <c r="M117" s="13">
        <v>59.2</v>
      </c>
    </row>
    <row r="118" spans="10:14" x14ac:dyDescent="0.2">
      <c r="J118" s="1"/>
      <c r="K118" s="2" t="s">
        <v>28</v>
      </c>
      <c r="L118" t="s">
        <v>65</v>
      </c>
      <c r="M118" s="11">
        <v>95</v>
      </c>
    </row>
    <row r="119" spans="10:14" x14ac:dyDescent="0.2">
      <c r="J119" s="1"/>
      <c r="K119" s="5"/>
      <c r="L119" s="12" t="s">
        <v>46</v>
      </c>
      <c r="M119" s="13">
        <v>88.9</v>
      </c>
    </row>
    <row r="120" spans="10:14" x14ac:dyDescent="0.2">
      <c r="J120" s="1"/>
      <c r="K120" s="2" t="s">
        <v>29</v>
      </c>
      <c r="L120" t="s">
        <v>65</v>
      </c>
      <c r="M120" s="11">
        <v>67.599999999999994</v>
      </c>
    </row>
    <row r="121" spans="10:14" x14ac:dyDescent="0.2">
      <c r="J121" s="1"/>
      <c r="K121" s="5"/>
      <c r="L121" s="12" t="s">
        <v>46</v>
      </c>
      <c r="M121" s="13">
        <v>57.2</v>
      </c>
    </row>
    <row r="122" spans="10:14" x14ac:dyDescent="0.2">
      <c r="J122" s="1"/>
      <c r="K122" s="2" t="s">
        <v>30</v>
      </c>
      <c r="L122" t="s">
        <v>65</v>
      </c>
      <c r="M122" s="11">
        <v>66.5</v>
      </c>
    </row>
    <row r="123" spans="10:14" x14ac:dyDescent="0.2">
      <c r="J123" s="1"/>
      <c r="K123" s="5"/>
      <c r="L123" s="12" t="s">
        <v>46</v>
      </c>
      <c r="M123" s="13">
        <v>37</v>
      </c>
    </row>
    <row r="124" spans="10:14" x14ac:dyDescent="0.2">
      <c r="J124" s="1"/>
      <c r="K124" s="2" t="s">
        <v>31</v>
      </c>
      <c r="L124" t="s">
        <v>65</v>
      </c>
      <c r="M124" s="11">
        <f>0.1+0.1+1.1</f>
        <v>1.3</v>
      </c>
    </row>
    <row r="125" spans="10:14" x14ac:dyDescent="0.2">
      <c r="J125" s="1"/>
      <c r="K125" s="5"/>
      <c r="L125" s="12" t="s">
        <v>46</v>
      </c>
      <c r="M125" s="13">
        <f>0.4+3.5+0.2</f>
        <v>4.0999999999999996</v>
      </c>
    </row>
    <row r="126" spans="10:14" x14ac:dyDescent="0.2">
      <c r="J126" s="1"/>
      <c r="K126" s="2" t="s">
        <v>32</v>
      </c>
      <c r="L126" t="s">
        <v>65</v>
      </c>
      <c r="M126" s="11">
        <v>58.8</v>
      </c>
    </row>
    <row r="127" spans="10:14" x14ac:dyDescent="0.2">
      <c r="J127" s="1"/>
      <c r="K127" s="5"/>
      <c r="L127" s="12" t="s">
        <v>46</v>
      </c>
      <c r="M127" s="13">
        <v>44.4</v>
      </c>
    </row>
    <row r="128" spans="10:14" x14ac:dyDescent="0.2">
      <c r="J128" s="1"/>
      <c r="K128" s="2" t="s">
        <v>33</v>
      </c>
      <c r="L128" t="s">
        <v>65</v>
      </c>
      <c r="M128" s="11">
        <v>41.5</v>
      </c>
    </row>
    <row r="129" spans="10:13" x14ac:dyDescent="0.2">
      <c r="J129" s="1"/>
      <c r="K129" s="5"/>
      <c r="L129" s="12" t="s">
        <v>46</v>
      </c>
      <c r="M129" s="13">
        <v>32.1</v>
      </c>
    </row>
    <row r="130" spans="10:13" x14ac:dyDescent="0.2">
      <c r="J130" s="1"/>
      <c r="K130" s="2" t="s">
        <v>34</v>
      </c>
      <c r="L130" t="s">
        <v>65</v>
      </c>
      <c r="M130" s="11">
        <v>79.7</v>
      </c>
    </row>
    <row r="131" spans="10:13" x14ac:dyDescent="0.2">
      <c r="J131" s="1"/>
      <c r="K131" s="5"/>
      <c r="L131" s="12" t="s">
        <v>46</v>
      </c>
      <c r="M131" s="13">
        <v>77.2</v>
      </c>
    </row>
    <row r="132" spans="10:13" x14ac:dyDescent="0.2">
      <c r="J132" s="1"/>
      <c r="K132" s="2" t="s">
        <v>35</v>
      </c>
      <c r="L132" t="s">
        <v>65</v>
      </c>
      <c r="M132" s="11">
        <v>51.4</v>
      </c>
    </row>
    <row r="133" spans="10:13" x14ac:dyDescent="0.2">
      <c r="K133" s="5"/>
      <c r="L133" s="12" t="s">
        <v>46</v>
      </c>
      <c r="M133" s="13">
        <v>53.9</v>
      </c>
    </row>
    <row r="134" spans="10:13" x14ac:dyDescent="0.2">
      <c r="J134" s="1"/>
      <c r="K134" s="2" t="s">
        <v>36</v>
      </c>
      <c r="L134" t="s">
        <v>65</v>
      </c>
      <c r="M134" s="11">
        <v>21.7</v>
      </c>
    </row>
    <row r="135" spans="10:13" x14ac:dyDescent="0.2">
      <c r="J135" s="1"/>
      <c r="K135" s="5"/>
      <c r="L135" s="12" t="s">
        <v>46</v>
      </c>
      <c r="M135" s="13">
        <v>23</v>
      </c>
    </row>
    <row r="136" spans="10:13" x14ac:dyDescent="0.2">
      <c r="J136" s="1"/>
      <c r="K136" s="2" t="s">
        <v>37</v>
      </c>
      <c r="L136" t="s">
        <v>65</v>
      </c>
      <c r="M136" s="11">
        <f>4.5+2.3+1.3</f>
        <v>8.1</v>
      </c>
    </row>
    <row r="137" spans="10:13" x14ac:dyDescent="0.2">
      <c r="J137" s="1"/>
      <c r="K137" s="5"/>
      <c r="L137" s="12" t="s">
        <v>46</v>
      </c>
      <c r="M137" s="13">
        <f>4+7.1+7</f>
        <v>18.100000000000001</v>
      </c>
    </row>
    <row r="138" spans="10:13" x14ac:dyDescent="0.2">
      <c r="J138" s="1"/>
      <c r="K138" s="2" t="s">
        <v>38</v>
      </c>
      <c r="L138" t="s">
        <v>65</v>
      </c>
      <c r="M138" s="11">
        <f>1.4+9.4+6.1</f>
        <v>16.899999999999999</v>
      </c>
    </row>
    <row r="139" spans="10:13" x14ac:dyDescent="0.2">
      <c r="J139" s="1"/>
      <c r="K139" s="5"/>
      <c r="L139" s="12" t="s">
        <v>46</v>
      </c>
      <c r="M139" s="13">
        <f>2.5+14.1+3.1</f>
        <v>19.700000000000003</v>
      </c>
    </row>
    <row r="140" spans="10:13" x14ac:dyDescent="0.2">
      <c r="J140" s="1"/>
      <c r="K140" s="2"/>
    </row>
    <row r="141" spans="10:13" x14ac:dyDescent="0.2">
      <c r="J141" s="1"/>
    </row>
    <row r="142" spans="10:13" x14ac:dyDescent="0.2">
      <c r="J142" s="1"/>
    </row>
    <row r="143" spans="10:13" x14ac:dyDescent="0.2">
      <c r="J143" s="1"/>
    </row>
    <row r="144" spans="10:13" x14ac:dyDescent="0.2">
      <c r="J144" s="1"/>
    </row>
    <row r="145" spans="10:14" x14ac:dyDescent="0.2">
      <c r="J145" s="1"/>
    </row>
    <row r="146" spans="10:14" x14ac:dyDescent="0.2">
      <c r="J146" s="1"/>
    </row>
    <row r="147" spans="10:14" x14ac:dyDescent="0.2">
      <c r="J147" s="1"/>
    </row>
    <row r="148" spans="10:14" x14ac:dyDescent="0.2">
      <c r="J148" s="1"/>
    </row>
    <row r="149" spans="10:14" x14ac:dyDescent="0.2">
      <c r="J149" s="1"/>
    </row>
    <row r="150" spans="10:14" x14ac:dyDescent="0.2">
      <c r="J150" s="1"/>
    </row>
    <row r="151" spans="10:14" x14ac:dyDescent="0.2">
      <c r="J151" s="1"/>
    </row>
    <row r="152" spans="10:14" x14ac:dyDescent="0.2">
      <c r="J152" s="1"/>
    </row>
    <row r="153" spans="10:14" x14ac:dyDescent="0.2">
      <c r="J153" s="1"/>
    </row>
    <row r="154" spans="10:14" x14ac:dyDescent="0.2">
      <c r="J154" s="1"/>
    </row>
    <row r="155" spans="10:14" x14ac:dyDescent="0.2">
      <c r="J155" s="1"/>
      <c r="K155" s="2" t="s">
        <v>26</v>
      </c>
      <c r="L155" t="s">
        <v>65</v>
      </c>
      <c r="M155" s="11">
        <v>8.3000000000000007</v>
      </c>
      <c r="N155" s="10" t="s">
        <v>39</v>
      </c>
    </row>
    <row r="156" spans="10:14" x14ac:dyDescent="0.2">
      <c r="J156" s="1"/>
      <c r="K156" s="5"/>
      <c r="L156" s="12" t="s">
        <v>46</v>
      </c>
      <c r="M156" s="13">
        <v>0.7</v>
      </c>
    </row>
    <row r="157" spans="10:14" x14ac:dyDescent="0.2">
      <c r="J157" s="1"/>
      <c r="K157" s="2" t="s">
        <v>27</v>
      </c>
      <c r="L157" t="s">
        <v>65</v>
      </c>
      <c r="M157" s="11">
        <v>7.3</v>
      </c>
    </row>
    <row r="158" spans="10:14" x14ac:dyDescent="0.2">
      <c r="J158" s="1"/>
      <c r="K158" s="5"/>
      <c r="L158" s="12" t="s">
        <v>46</v>
      </c>
      <c r="M158" s="13">
        <v>5.7</v>
      </c>
    </row>
    <row r="159" spans="10:14" x14ac:dyDescent="0.2">
      <c r="K159" s="2" t="s">
        <v>28</v>
      </c>
      <c r="L159" t="s">
        <v>65</v>
      </c>
      <c r="M159" s="11">
        <v>6.1</v>
      </c>
    </row>
    <row r="160" spans="10:14" x14ac:dyDescent="0.2">
      <c r="K160" s="5"/>
      <c r="L160" s="12" t="s">
        <v>46</v>
      </c>
      <c r="M160" s="13">
        <v>7.5</v>
      </c>
    </row>
    <row r="161" spans="11:13" x14ac:dyDescent="0.2">
      <c r="K161" s="2" t="s">
        <v>29</v>
      </c>
      <c r="L161" t="s">
        <v>65</v>
      </c>
      <c r="M161" s="11">
        <v>6.9</v>
      </c>
    </row>
    <row r="162" spans="11:13" x14ac:dyDescent="0.2">
      <c r="K162" s="5"/>
      <c r="L162" s="12" t="s">
        <v>46</v>
      </c>
      <c r="M162" s="13">
        <v>7.9</v>
      </c>
    </row>
    <row r="163" spans="11:13" x14ac:dyDescent="0.2">
      <c r="K163" s="2" t="s">
        <v>30</v>
      </c>
      <c r="L163" t="s">
        <v>65</v>
      </c>
      <c r="M163" s="11">
        <v>7.2</v>
      </c>
    </row>
    <row r="164" spans="11:13" x14ac:dyDescent="0.2">
      <c r="K164" s="5"/>
      <c r="L164" s="12" t="s">
        <v>46</v>
      </c>
      <c r="M164" s="13">
        <v>5.7</v>
      </c>
    </row>
    <row r="165" spans="11:13" x14ac:dyDescent="0.2">
      <c r="K165" s="2" t="s">
        <v>31</v>
      </c>
      <c r="L165" t="s">
        <v>65</v>
      </c>
      <c r="M165" s="11">
        <v>4.9000000000000004</v>
      </c>
    </row>
    <row r="166" spans="11:13" x14ac:dyDescent="0.2">
      <c r="K166" s="5"/>
      <c r="L166" s="12" t="s">
        <v>46</v>
      </c>
      <c r="M166" s="13">
        <v>4.4000000000000004</v>
      </c>
    </row>
    <row r="167" spans="11:13" x14ac:dyDescent="0.2">
      <c r="K167" s="2" t="s">
        <v>32</v>
      </c>
      <c r="L167" t="s">
        <v>65</v>
      </c>
      <c r="M167" s="11">
        <v>9.6</v>
      </c>
    </row>
    <row r="168" spans="11:13" x14ac:dyDescent="0.2">
      <c r="K168" s="5"/>
      <c r="L168" s="12" t="s">
        <v>46</v>
      </c>
      <c r="M168" s="13">
        <v>7.6</v>
      </c>
    </row>
    <row r="169" spans="11:13" x14ac:dyDescent="0.2">
      <c r="K169" s="2" t="s">
        <v>33</v>
      </c>
      <c r="L169" t="s">
        <v>65</v>
      </c>
      <c r="M169" s="11">
        <v>1.7</v>
      </c>
    </row>
    <row r="170" spans="11:13" x14ac:dyDescent="0.2">
      <c r="K170" s="5"/>
      <c r="L170" s="12" t="s">
        <v>46</v>
      </c>
      <c r="M170" s="13">
        <v>5.8</v>
      </c>
    </row>
    <row r="171" spans="11:13" x14ac:dyDescent="0.2">
      <c r="K171" s="2" t="s">
        <v>34</v>
      </c>
      <c r="L171" t="s">
        <v>65</v>
      </c>
      <c r="M171" s="11">
        <v>4.5999999999999996</v>
      </c>
    </row>
    <row r="172" spans="11:13" x14ac:dyDescent="0.2">
      <c r="K172" s="5"/>
      <c r="L172" s="12" t="s">
        <v>46</v>
      </c>
      <c r="M172" s="13">
        <v>6.5</v>
      </c>
    </row>
    <row r="173" spans="11:13" x14ac:dyDescent="0.2">
      <c r="K173" s="2" t="s">
        <v>35</v>
      </c>
      <c r="L173" t="s">
        <v>65</v>
      </c>
      <c r="M173" s="11">
        <v>5.0999999999999996</v>
      </c>
    </row>
    <row r="174" spans="11:13" x14ac:dyDescent="0.2">
      <c r="K174" s="5"/>
      <c r="L174" s="12" t="s">
        <v>46</v>
      </c>
      <c r="M174" s="13">
        <v>3.2</v>
      </c>
    </row>
    <row r="175" spans="11:13" x14ac:dyDescent="0.2">
      <c r="K175" s="2" t="s">
        <v>36</v>
      </c>
      <c r="L175" t="s">
        <v>65</v>
      </c>
      <c r="M175" s="11">
        <v>5.0999999999999996</v>
      </c>
    </row>
    <row r="176" spans="11:13" x14ac:dyDescent="0.2">
      <c r="K176" s="5"/>
      <c r="L176" s="12" t="s">
        <v>46</v>
      </c>
      <c r="M176" s="13">
        <v>5.7</v>
      </c>
    </row>
    <row r="177" spans="11:13" x14ac:dyDescent="0.2">
      <c r="K177" s="2" t="s">
        <v>37</v>
      </c>
      <c r="L177" t="s">
        <v>65</v>
      </c>
      <c r="M177" s="11">
        <v>6.2</v>
      </c>
    </row>
    <row r="178" spans="11:13" x14ac:dyDescent="0.2">
      <c r="K178" s="5"/>
      <c r="L178" s="12" t="s">
        <v>46</v>
      </c>
      <c r="M178" s="13">
        <v>9.1999999999999993</v>
      </c>
    </row>
    <row r="179" spans="11:13" x14ac:dyDescent="0.2">
      <c r="K179" s="2" t="s">
        <v>38</v>
      </c>
      <c r="L179" t="s">
        <v>65</v>
      </c>
      <c r="M179" s="11">
        <v>6</v>
      </c>
    </row>
    <row r="180" spans="11:13" x14ac:dyDescent="0.2">
      <c r="K180" s="5"/>
      <c r="L180" s="12" t="s">
        <v>46</v>
      </c>
      <c r="M180" s="13">
        <v>5.9</v>
      </c>
    </row>
    <row r="181" spans="11:13" x14ac:dyDescent="0.2">
      <c r="K181" s="2"/>
    </row>
    <row r="195" spans="11:14" x14ac:dyDescent="0.2">
      <c r="K195" s="2" t="s">
        <v>26</v>
      </c>
      <c r="L195" t="s">
        <v>65</v>
      </c>
      <c r="M195" s="11">
        <v>71.5</v>
      </c>
      <c r="N195" s="10" t="s">
        <v>40</v>
      </c>
    </row>
    <row r="196" spans="11:14" x14ac:dyDescent="0.2">
      <c r="K196" s="5"/>
      <c r="L196" s="12" t="s">
        <v>46</v>
      </c>
      <c r="M196" s="13">
        <v>74.900000000000006</v>
      </c>
    </row>
    <row r="197" spans="11:14" x14ac:dyDescent="0.2">
      <c r="K197" s="2" t="s">
        <v>27</v>
      </c>
      <c r="L197" t="s">
        <v>65</v>
      </c>
      <c r="M197" s="11">
        <v>48</v>
      </c>
    </row>
    <row r="198" spans="11:14" x14ac:dyDescent="0.2">
      <c r="K198" s="5"/>
      <c r="L198" s="12" t="s">
        <v>46</v>
      </c>
      <c r="M198" s="13">
        <v>50.1</v>
      </c>
    </row>
    <row r="199" spans="11:14" x14ac:dyDescent="0.2">
      <c r="K199" s="2" t="s">
        <v>28</v>
      </c>
      <c r="L199" t="s">
        <v>65</v>
      </c>
      <c r="M199" s="11">
        <v>35</v>
      </c>
    </row>
    <row r="200" spans="11:14" x14ac:dyDescent="0.2">
      <c r="K200" s="5"/>
      <c r="L200" s="12" t="s">
        <v>46</v>
      </c>
      <c r="M200" s="13">
        <v>28.2</v>
      </c>
    </row>
    <row r="201" spans="11:14" x14ac:dyDescent="0.2">
      <c r="K201" s="2" t="s">
        <v>29</v>
      </c>
      <c r="L201" t="s">
        <v>65</v>
      </c>
      <c r="M201" s="11">
        <v>45.1</v>
      </c>
    </row>
    <row r="202" spans="11:14" x14ac:dyDescent="0.2">
      <c r="K202" s="5"/>
      <c r="L202" s="12" t="s">
        <v>46</v>
      </c>
      <c r="M202" s="13">
        <v>43.5</v>
      </c>
    </row>
    <row r="203" spans="11:14" x14ac:dyDescent="0.2">
      <c r="K203" s="2" t="s">
        <v>30</v>
      </c>
      <c r="L203" t="s">
        <v>65</v>
      </c>
      <c r="M203" s="11">
        <v>40.4</v>
      </c>
    </row>
    <row r="204" spans="11:14" x14ac:dyDescent="0.2">
      <c r="K204" s="5"/>
      <c r="L204" s="12" t="s">
        <v>46</v>
      </c>
      <c r="M204" s="13">
        <v>50.3</v>
      </c>
    </row>
    <row r="205" spans="11:14" x14ac:dyDescent="0.2">
      <c r="K205" s="2" t="s">
        <v>31</v>
      </c>
      <c r="L205" t="s">
        <v>65</v>
      </c>
      <c r="M205" s="11">
        <v>34.1</v>
      </c>
    </row>
    <row r="206" spans="11:14" x14ac:dyDescent="0.2">
      <c r="K206" s="5"/>
      <c r="L206" s="12" t="s">
        <v>46</v>
      </c>
      <c r="M206" s="13">
        <v>36.299999999999997</v>
      </c>
    </row>
    <row r="207" spans="11:14" x14ac:dyDescent="0.2">
      <c r="K207" s="2" t="s">
        <v>32</v>
      </c>
      <c r="L207" t="s">
        <v>65</v>
      </c>
      <c r="M207" s="11">
        <v>60.6</v>
      </c>
    </row>
    <row r="208" spans="11:14" x14ac:dyDescent="0.2">
      <c r="K208" s="5"/>
      <c r="L208" s="12" t="s">
        <v>46</v>
      </c>
      <c r="M208" s="13">
        <v>56.8</v>
      </c>
    </row>
    <row r="209" spans="11:13" x14ac:dyDescent="0.2">
      <c r="K209" s="2" t="s">
        <v>33</v>
      </c>
      <c r="L209" t="s">
        <v>65</v>
      </c>
      <c r="M209" s="11">
        <v>47.8</v>
      </c>
    </row>
    <row r="210" spans="11:13" x14ac:dyDescent="0.2">
      <c r="K210" s="5"/>
      <c r="L210" s="12" t="s">
        <v>46</v>
      </c>
      <c r="M210" s="13">
        <v>43.4</v>
      </c>
    </row>
    <row r="211" spans="11:13" x14ac:dyDescent="0.2">
      <c r="K211" s="2" t="s">
        <v>34</v>
      </c>
      <c r="L211" t="s">
        <v>65</v>
      </c>
      <c r="M211" s="11">
        <v>28.3</v>
      </c>
    </row>
    <row r="212" spans="11:13" x14ac:dyDescent="0.2">
      <c r="K212" s="5"/>
      <c r="L212" s="12" t="s">
        <v>46</v>
      </c>
      <c r="M212" s="13">
        <v>28.5</v>
      </c>
    </row>
    <row r="213" spans="11:13" x14ac:dyDescent="0.2">
      <c r="K213" s="2" t="s">
        <v>35</v>
      </c>
      <c r="L213" t="s">
        <v>65</v>
      </c>
      <c r="M213" s="11">
        <v>61.2</v>
      </c>
    </row>
    <row r="214" spans="11:13" x14ac:dyDescent="0.2">
      <c r="K214" s="5"/>
      <c r="L214" s="12" t="s">
        <v>46</v>
      </c>
      <c r="M214" s="13">
        <v>63.6</v>
      </c>
    </row>
    <row r="215" spans="11:13" x14ac:dyDescent="0.2">
      <c r="K215" s="2" t="s">
        <v>36</v>
      </c>
      <c r="L215" t="s">
        <v>65</v>
      </c>
      <c r="M215" s="11">
        <v>71.900000000000006</v>
      </c>
    </row>
    <row r="216" spans="11:13" x14ac:dyDescent="0.2">
      <c r="K216" s="5"/>
      <c r="L216" s="12" t="s">
        <v>46</v>
      </c>
      <c r="M216" s="13">
        <v>59.9</v>
      </c>
    </row>
    <row r="217" spans="11:13" x14ac:dyDescent="0.2">
      <c r="K217" s="2" t="s">
        <v>37</v>
      </c>
      <c r="L217" t="s">
        <v>65</v>
      </c>
      <c r="M217" s="11">
        <v>50.6</v>
      </c>
    </row>
    <row r="218" spans="11:13" x14ac:dyDescent="0.2">
      <c r="K218" s="5"/>
      <c r="L218" s="12" t="s">
        <v>46</v>
      </c>
      <c r="M218" s="13">
        <v>45.7</v>
      </c>
    </row>
    <row r="219" spans="11:13" x14ac:dyDescent="0.2">
      <c r="K219" s="2" t="s">
        <v>38</v>
      </c>
      <c r="L219" t="s">
        <v>65</v>
      </c>
      <c r="M219" s="11">
        <v>56.4</v>
      </c>
    </row>
    <row r="220" spans="11:13" x14ac:dyDescent="0.2">
      <c r="K220" s="5"/>
      <c r="L220" s="12" t="s">
        <v>46</v>
      </c>
      <c r="M220" s="13">
        <v>46.3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J1:T219"/>
  <sheetViews>
    <sheetView topLeftCell="A202" zoomScale="80" zoomScaleNormal="80" workbookViewId="0">
      <selection activeCell="Q214" sqref="Q214"/>
    </sheetView>
  </sheetViews>
  <sheetFormatPr baseColWidth="10" defaultColWidth="8.83203125" defaultRowHeight="15" x14ac:dyDescent="0.2"/>
  <cols>
    <col min="1" max="10" width="10.6640625" customWidth="1"/>
    <col min="11" max="11" width="6.6640625" customWidth="1"/>
    <col min="12" max="12" width="9.6640625" bestFit="1" customWidth="1"/>
    <col min="13" max="13" width="9.1640625" style="11"/>
  </cols>
  <sheetData>
    <row r="1" spans="10:13" ht="16" x14ac:dyDescent="0.2">
      <c r="J1" s="1"/>
      <c r="K1" s="2"/>
      <c r="M1" s="23" t="s">
        <v>41</v>
      </c>
    </row>
    <row r="2" spans="10:13" x14ac:dyDescent="0.2">
      <c r="J2" s="1"/>
      <c r="K2" s="2">
        <v>13</v>
      </c>
      <c r="L2" t="s">
        <v>47</v>
      </c>
      <c r="M2" s="11">
        <v>4.4000000000000004</v>
      </c>
    </row>
    <row r="3" spans="10:13" x14ac:dyDescent="0.2">
      <c r="J3" s="1"/>
      <c r="K3" s="5"/>
      <c r="L3" s="12" t="s">
        <v>48</v>
      </c>
      <c r="M3" s="13">
        <v>1.7</v>
      </c>
    </row>
    <row r="4" spans="10:13" x14ac:dyDescent="0.2">
      <c r="J4" s="1"/>
      <c r="K4" s="2">
        <v>14</v>
      </c>
      <c r="L4" t="s">
        <v>47</v>
      </c>
      <c r="M4" s="11">
        <v>13.4</v>
      </c>
    </row>
    <row r="5" spans="10:13" x14ac:dyDescent="0.2">
      <c r="J5" s="1"/>
      <c r="K5" s="5"/>
      <c r="L5" s="12" t="s">
        <v>48</v>
      </c>
      <c r="M5" s="13">
        <v>6.5</v>
      </c>
    </row>
    <row r="6" spans="10:13" ht="19.5" customHeight="1" x14ac:dyDescent="0.2">
      <c r="J6" s="1"/>
      <c r="K6" s="2"/>
    </row>
    <row r="7" spans="10:13" ht="17.25" customHeight="1" x14ac:dyDescent="0.2">
      <c r="J7" s="1"/>
      <c r="K7" s="2"/>
    </row>
    <row r="8" spans="10:13" x14ac:dyDescent="0.2">
      <c r="J8" s="1"/>
      <c r="K8" s="2"/>
    </row>
    <row r="9" spans="10:13" x14ac:dyDescent="0.2">
      <c r="J9" s="1"/>
      <c r="K9" s="2"/>
    </row>
    <row r="10" spans="10:13" x14ac:dyDescent="0.2">
      <c r="J10" s="1"/>
      <c r="K10" s="2"/>
    </row>
    <row r="11" spans="10:13" x14ac:dyDescent="0.2">
      <c r="J11" s="1"/>
      <c r="K11" s="2"/>
    </row>
    <row r="12" spans="10:13" x14ac:dyDescent="0.2">
      <c r="J12" s="1"/>
      <c r="K12" s="2"/>
    </row>
    <row r="13" spans="10:13" x14ac:dyDescent="0.2">
      <c r="J13" s="1"/>
      <c r="K13" s="2"/>
    </row>
    <row r="14" spans="10:13" x14ac:dyDescent="0.2">
      <c r="J14" s="1"/>
    </row>
    <row r="15" spans="10:13" x14ac:dyDescent="0.2">
      <c r="J15" s="1"/>
      <c r="K15" s="2" t="s">
        <v>0</v>
      </c>
      <c r="L15" t="s">
        <v>47</v>
      </c>
      <c r="M15" s="11">
        <v>23.9</v>
      </c>
    </row>
    <row r="16" spans="10:13" x14ac:dyDescent="0.2">
      <c r="J16" s="1"/>
      <c r="K16" s="5"/>
      <c r="L16" s="12" t="s">
        <v>48</v>
      </c>
      <c r="M16" s="13">
        <v>17.7</v>
      </c>
    </row>
    <row r="17" spans="10:20" x14ac:dyDescent="0.2">
      <c r="J17" s="1"/>
      <c r="K17" s="2">
        <v>20</v>
      </c>
      <c r="L17" t="s">
        <v>47</v>
      </c>
      <c r="M17" s="11">
        <v>26.5</v>
      </c>
    </row>
    <row r="18" spans="10:20" x14ac:dyDescent="0.2">
      <c r="J18" s="1"/>
      <c r="K18" s="5"/>
      <c r="L18" s="12" t="s">
        <v>48</v>
      </c>
      <c r="M18" s="13">
        <v>17.399999999999999</v>
      </c>
    </row>
    <row r="19" spans="10:20" x14ac:dyDescent="0.2">
      <c r="J19" s="1"/>
      <c r="K19" s="2"/>
    </row>
    <row r="20" spans="10:20" x14ac:dyDescent="0.2">
      <c r="J20" s="1"/>
      <c r="K20" s="2"/>
    </row>
    <row r="21" spans="10:20" x14ac:dyDescent="0.2">
      <c r="J21" s="1"/>
      <c r="K21" s="2"/>
    </row>
    <row r="22" spans="10:20" x14ac:dyDescent="0.2">
      <c r="J22" s="1"/>
    </row>
    <row r="23" spans="10:20" x14ac:dyDescent="0.2">
      <c r="J23" s="1"/>
      <c r="T23" s="15"/>
    </row>
    <row r="24" spans="10:20" x14ac:dyDescent="0.2">
      <c r="J24" s="1"/>
    </row>
    <row r="25" spans="10:20" x14ac:dyDescent="0.2">
      <c r="J25" s="1"/>
    </row>
    <row r="26" spans="10:20" x14ac:dyDescent="0.2">
      <c r="J26" s="1"/>
    </row>
    <row r="27" spans="10:20" x14ac:dyDescent="0.2">
      <c r="J27" s="1"/>
    </row>
    <row r="28" spans="10:20" x14ac:dyDescent="0.2">
      <c r="J28" s="1"/>
      <c r="K28" s="2" t="s">
        <v>1</v>
      </c>
      <c r="L28" t="s">
        <v>47</v>
      </c>
      <c r="M28" s="11">
        <v>24.6</v>
      </c>
    </row>
    <row r="29" spans="10:20" x14ac:dyDescent="0.2">
      <c r="J29" s="1"/>
      <c r="K29" s="5"/>
      <c r="L29" s="12" t="s">
        <v>48</v>
      </c>
      <c r="M29" s="13">
        <v>22.5</v>
      </c>
    </row>
    <row r="30" spans="10:20" x14ac:dyDescent="0.2">
      <c r="J30" s="1"/>
      <c r="K30" s="2" t="s">
        <v>2</v>
      </c>
      <c r="L30" t="s">
        <v>47</v>
      </c>
      <c r="M30" s="11">
        <v>22.5</v>
      </c>
    </row>
    <row r="31" spans="10:20" x14ac:dyDescent="0.2">
      <c r="J31" s="1"/>
      <c r="K31" s="5"/>
      <c r="L31" s="12" t="s">
        <v>48</v>
      </c>
      <c r="M31" s="13">
        <v>23.7</v>
      </c>
    </row>
    <row r="32" spans="10:20" x14ac:dyDescent="0.2">
      <c r="J32" s="1"/>
      <c r="K32" s="2" t="s">
        <v>3</v>
      </c>
      <c r="L32" t="s">
        <v>47</v>
      </c>
      <c r="M32" s="11">
        <v>37.299999999999997</v>
      </c>
    </row>
    <row r="33" spans="10:20" x14ac:dyDescent="0.2">
      <c r="J33" s="1"/>
      <c r="K33" s="5"/>
      <c r="L33" s="12" t="s">
        <v>48</v>
      </c>
      <c r="M33" s="13">
        <v>37.9</v>
      </c>
    </row>
    <row r="34" spans="10:20" x14ac:dyDescent="0.2">
      <c r="J34" s="1"/>
      <c r="K34" s="2" t="s">
        <v>4</v>
      </c>
      <c r="L34" t="s">
        <v>47</v>
      </c>
      <c r="M34" s="11">
        <v>71.8</v>
      </c>
    </row>
    <row r="35" spans="10:20" x14ac:dyDescent="0.2">
      <c r="J35" s="1"/>
      <c r="K35" s="5"/>
      <c r="L35" s="12" t="s">
        <v>48</v>
      </c>
      <c r="M35" s="13">
        <v>69.900000000000006</v>
      </c>
    </row>
    <row r="36" spans="10:20" x14ac:dyDescent="0.2">
      <c r="J36" s="1"/>
      <c r="K36" s="2" t="s">
        <v>5</v>
      </c>
      <c r="L36" t="s">
        <v>47</v>
      </c>
      <c r="M36" s="11">
        <v>59.8</v>
      </c>
    </row>
    <row r="37" spans="10:20" x14ac:dyDescent="0.2">
      <c r="J37" s="1"/>
      <c r="K37" s="5"/>
      <c r="L37" s="12" t="s">
        <v>48</v>
      </c>
      <c r="M37" s="13">
        <v>59.7</v>
      </c>
    </row>
    <row r="38" spans="10:20" x14ac:dyDescent="0.2">
      <c r="J38" s="1"/>
      <c r="K38" s="2" t="s">
        <v>6</v>
      </c>
      <c r="L38" t="s">
        <v>47</v>
      </c>
      <c r="M38" s="11">
        <v>56.3</v>
      </c>
      <c r="Q38" s="2"/>
      <c r="S38" s="11"/>
    </row>
    <row r="39" spans="10:20" x14ac:dyDescent="0.2">
      <c r="J39" s="1"/>
      <c r="K39" s="5"/>
      <c r="L39" s="12" t="s">
        <v>48</v>
      </c>
      <c r="M39" s="13">
        <v>45.8</v>
      </c>
      <c r="Q39" s="2"/>
      <c r="S39" s="11"/>
    </row>
    <row r="40" spans="10:20" x14ac:dyDescent="0.2">
      <c r="J40" s="1"/>
      <c r="K40" s="2">
        <v>21</v>
      </c>
      <c r="L40" t="s">
        <v>47</v>
      </c>
      <c r="M40" s="11">
        <v>47.4</v>
      </c>
    </row>
    <row r="41" spans="10:20" x14ac:dyDescent="0.2">
      <c r="J41" s="1"/>
      <c r="K41" s="5"/>
      <c r="L41" s="12" t="s">
        <v>48</v>
      </c>
      <c r="M41" s="13">
        <v>48.4</v>
      </c>
    </row>
    <row r="42" spans="10:20" x14ac:dyDescent="0.2">
      <c r="J42" s="1"/>
      <c r="K42" s="2">
        <v>22</v>
      </c>
      <c r="L42" t="s">
        <v>47</v>
      </c>
      <c r="M42" s="11">
        <v>22</v>
      </c>
    </row>
    <row r="43" spans="10:20" x14ac:dyDescent="0.2">
      <c r="J43" s="1"/>
      <c r="K43" s="5"/>
      <c r="L43" s="12" t="s">
        <v>48</v>
      </c>
      <c r="M43" s="13">
        <v>18.100000000000001</v>
      </c>
    </row>
    <row r="44" spans="10:20" x14ac:dyDescent="0.2">
      <c r="J44" s="1"/>
    </row>
    <row r="45" spans="10:20" x14ac:dyDescent="0.2">
      <c r="J45" s="1"/>
      <c r="T45" s="15"/>
    </row>
    <row r="46" spans="10:20" x14ac:dyDescent="0.2">
      <c r="J46" s="1"/>
    </row>
    <row r="47" spans="10:20" x14ac:dyDescent="0.2">
      <c r="J47" s="1"/>
    </row>
    <row r="48" spans="10:20" x14ac:dyDescent="0.2">
      <c r="J48" s="1"/>
    </row>
    <row r="49" spans="10:19" x14ac:dyDescent="0.2">
      <c r="J49" s="1"/>
    </row>
    <row r="50" spans="10:19" x14ac:dyDescent="0.2">
      <c r="J50" s="1"/>
    </row>
    <row r="51" spans="10:19" x14ac:dyDescent="0.2">
      <c r="J51" s="1"/>
    </row>
    <row r="52" spans="10:19" x14ac:dyDescent="0.2">
      <c r="J52" s="1"/>
    </row>
    <row r="53" spans="10:19" x14ac:dyDescent="0.2">
      <c r="J53" s="1"/>
    </row>
    <row r="54" spans="10:19" x14ac:dyDescent="0.2">
      <c r="J54" s="1"/>
    </row>
    <row r="55" spans="10:19" x14ac:dyDescent="0.2">
      <c r="J55" s="1"/>
    </row>
    <row r="56" spans="10:19" x14ac:dyDescent="0.2">
      <c r="J56" s="1"/>
    </row>
    <row r="57" spans="10:19" x14ac:dyDescent="0.2">
      <c r="J57" s="1"/>
      <c r="K57" s="2" t="s">
        <v>7</v>
      </c>
      <c r="L57" t="s">
        <v>47</v>
      </c>
      <c r="M57" s="11">
        <v>45.1</v>
      </c>
    </row>
    <row r="58" spans="10:19" x14ac:dyDescent="0.2">
      <c r="J58" s="1"/>
      <c r="K58" s="5"/>
      <c r="L58" s="12" t="s">
        <v>48</v>
      </c>
      <c r="M58" s="13">
        <v>41.5</v>
      </c>
    </row>
    <row r="59" spans="10:19" x14ac:dyDescent="0.2">
      <c r="J59" s="1"/>
      <c r="K59" s="2" t="s">
        <v>8</v>
      </c>
      <c r="L59" t="s">
        <v>47</v>
      </c>
      <c r="M59" s="11">
        <v>27.5</v>
      </c>
    </row>
    <row r="60" spans="10:19" x14ac:dyDescent="0.2">
      <c r="J60" s="1"/>
      <c r="K60" s="5"/>
      <c r="L60" s="12" t="s">
        <v>48</v>
      </c>
      <c r="M60" s="13">
        <v>24.4</v>
      </c>
      <c r="Q60" s="2"/>
      <c r="S60" s="11"/>
    </row>
    <row r="61" spans="10:19" x14ac:dyDescent="0.2">
      <c r="J61" s="1"/>
      <c r="K61" s="2" t="s">
        <v>9</v>
      </c>
      <c r="L61" t="s">
        <v>47</v>
      </c>
      <c r="M61" s="11">
        <v>95.7</v>
      </c>
      <c r="Q61" s="2"/>
      <c r="S61" s="11"/>
    </row>
    <row r="62" spans="10:19" x14ac:dyDescent="0.2">
      <c r="J62" s="1"/>
      <c r="K62" s="5"/>
      <c r="L62" s="12" t="s">
        <v>48</v>
      </c>
      <c r="M62" s="13">
        <v>92.5</v>
      </c>
    </row>
    <row r="63" spans="10:19" x14ac:dyDescent="0.2">
      <c r="J63" s="1"/>
      <c r="K63" s="2" t="s">
        <v>10</v>
      </c>
      <c r="L63" t="s">
        <v>47</v>
      </c>
      <c r="M63" s="11">
        <v>14.8</v>
      </c>
    </row>
    <row r="64" spans="10:19" x14ac:dyDescent="0.2">
      <c r="J64" s="1"/>
      <c r="K64" s="5"/>
      <c r="L64" s="12" t="s">
        <v>48</v>
      </c>
      <c r="M64" s="13">
        <v>8.5</v>
      </c>
    </row>
    <row r="65" spans="10:19" x14ac:dyDescent="0.2">
      <c r="J65" s="1"/>
      <c r="K65" s="2" t="s">
        <v>11</v>
      </c>
      <c r="L65" t="s">
        <v>47</v>
      </c>
      <c r="M65" s="11">
        <v>26.7</v>
      </c>
    </row>
    <row r="66" spans="10:19" x14ac:dyDescent="0.2">
      <c r="J66" s="1"/>
      <c r="K66" s="5"/>
      <c r="L66" s="12" t="s">
        <v>48</v>
      </c>
      <c r="M66" s="13">
        <v>25.4</v>
      </c>
    </row>
    <row r="67" spans="10:19" x14ac:dyDescent="0.2">
      <c r="J67" s="1"/>
      <c r="K67" s="2" t="s">
        <v>12</v>
      </c>
      <c r="L67" t="s">
        <v>47</v>
      </c>
      <c r="M67" s="11">
        <v>47</v>
      </c>
    </row>
    <row r="68" spans="10:19" x14ac:dyDescent="0.2">
      <c r="J68" s="1"/>
      <c r="K68" s="5"/>
      <c r="L68" s="12" t="s">
        <v>48</v>
      </c>
      <c r="M68" s="13">
        <v>33.700000000000003</v>
      </c>
    </row>
    <row r="69" spans="10:19" x14ac:dyDescent="0.2">
      <c r="J69" s="1"/>
      <c r="K69" s="2" t="s">
        <v>13</v>
      </c>
      <c r="L69" t="s">
        <v>47</v>
      </c>
      <c r="M69" s="11">
        <v>34.299999999999997</v>
      </c>
    </row>
    <row r="70" spans="10:19" x14ac:dyDescent="0.2">
      <c r="J70" s="1"/>
      <c r="K70" s="5"/>
      <c r="L70" s="12" t="s">
        <v>48</v>
      </c>
      <c r="M70" s="13">
        <v>25</v>
      </c>
    </row>
    <row r="71" spans="10:19" x14ac:dyDescent="0.2">
      <c r="J71" s="1"/>
      <c r="K71" s="2" t="s">
        <v>14</v>
      </c>
      <c r="L71" t="s">
        <v>47</v>
      </c>
      <c r="M71" s="11">
        <v>21.1</v>
      </c>
    </row>
    <row r="72" spans="10:19" x14ac:dyDescent="0.2">
      <c r="J72" s="1"/>
      <c r="K72" s="5"/>
      <c r="L72" s="12" t="s">
        <v>48</v>
      </c>
      <c r="M72" s="13">
        <v>18.7</v>
      </c>
    </row>
    <row r="73" spans="10:19" x14ac:dyDescent="0.2">
      <c r="J73" s="1"/>
      <c r="K73" s="2" t="s">
        <v>15</v>
      </c>
      <c r="L73" t="s">
        <v>47</v>
      </c>
      <c r="M73" s="11">
        <v>50.3</v>
      </c>
    </row>
    <row r="74" spans="10:19" x14ac:dyDescent="0.2">
      <c r="J74" s="1"/>
      <c r="K74" s="5"/>
      <c r="L74" s="12" t="s">
        <v>48</v>
      </c>
      <c r="M74" s="13">
        <v>44.6</v>
      </c>
    </row>
    <row r="75" spans="10:19" x14ac:dyDescent="0.2">
      <c r="J75" s="1"/>
      <c r="K75" s="2" t="s">
        <v>16</v>
      </c>
      <c r="L75" t="s">
        <v>47</v>
      </c>
      <c r="M75" s="11">
        <v>52.2</v>
      </c>
    </row>
    <row r="76" spans="10:19" x14ac:dyDescent="0.2">
      <c r="J76" s="1"/>
      <c r="K76" s="5"/>
      <c r="L76" s="12" t="s">
        <v>48</v>
      </c>
      <c r="M76" s="13">
        <v>55</v>
      </c>
    </row>
    <row r="77" spans="10:19" x14ac:dyDescent="0.2">
      <c r="J77" s="1"/>
    </row>
    <row r="78" spans="10:19" x14ac:dyDescent="0.2">
      <c r="J78" s="1"/>
      <c r="Q78" s="2"/>
      <c r="S78" s="11"/>
    </row>
    <row r="79" spans="10:19" x14ac:dyDescent="0.2">
      <c r="J79" s="1"/>
      <c r="Q79" s="2"/>
      <c r="S79" s="11"/>
    </row>
    <row r="81" spans="10:13" x14ac:dyDescent="0.2">
      <c r="J81" s="1"/>
    </row>
    <row r="82" spans="10:13" x14ac:dyDescent="0.2">
      <c r="J82" s="1"/>
    </row>
    <row r="83" spans="10:13" x14ac:dyDescent="0.2">
      <c r="J83" s="1"/>
    </row>
    <row r="84" spans="10:13" x14ac:dyDescent="0.2">
      <c r="J84" s="1"/>
    </row>
    <row r="85" spans="10:13" x14ac:dyDescent="0.2">
      <c r="J85" s="1"/>
    </row>
    <row r="86" spans="10:13" x14ac:dyDescent="0.2">
      <c r="J86" s="1"/>
    </row>
    <row r="87" spans="10:13" x14ac:dyDescent="0.2">
      <c r="J87" s="1"/>
    </row>
    <row r="88" spans="10:13" x14ac:dyDescent="0.2">
      <c r="J88" s="1"/>
      <c r="K88" s="2" t="s">
        <v>17</v>
      </c>
      <c r="L88" t="s">
        <v>47</v>
      </c>
      <c r="M88" s="11">
        <v>41.1</v>
      </c>
    </row>
    <row r="89" spans="10:13" x14ac:dyDescent="0.2">
      <c r="J89" s="1"/>
      <c r="K89" s="5"/>
      <c r="L89" s="12" t="s">
        <v>48</v>
      </c>
      <c r="M89" s="13">
        <v>30.1</v>
      </c>
    </row>
    <row r="90" spans="10:13" x14ac:dyDescent="0.2">
      <c r="J90" s="1"/>
      <c r="K90" s="2" t="s">
        <v>18</v>
      </c>
      <c r="L90" t="s">
        <v>47</v>
      </c>
      <c r="M90" s="11">
        <v>32.1</v>
      </c>
    </row>
    <row r="91" spans="10:13" x14ac:dyDescent="0.2">
      <c r="J91" s="1"/>
      <c r="K91" s="5"/>
      <c r="L91" s="12" t="s">
        <v>48</v>
      </c>
      <c r="M91" s="13">
        <v>36.200000000000003</v>
      </c>
    </row>
    <row r="92" spans="10:13" x14ac:dyDescent="0.2">
      <c r="J92" s="1"/>
      <c r="K92" s="2" t="s">
        <v>19</v>
      </c>
      <c r="L92" t="s">
        <v>47</v>
      </c>
      <c r="M92" s="11">
        <v>5.5</v>
      </c>
    </row>
    <row r="93" spans="10:13" x14ac:dyDescent="0.2">
      <c r="J93" s="1"/>
      <c r="K93" s="5"/>
      <c r="L93" s="12" t="s">
        <v>48</v>
      </c>
      <c r="M93" s="13">
        <v>2.8</v>
      </c>
    </row>
    <row r="94" spans="10:13" x14ac:dyDescent="0.2">
      <c r="J94" s="1"/>
      <c r="K94" s="2" t="s">
        <v>20</v>
      </c>
      <c r="L94" t="s">
        <v>47</v>
      </c>
      <c r="M94" s="11">
        <v>15.7</v>
      </c>
    </row>
    <row r="95" spans="10:13" x14ac:dyDescent="0.2">
      <c r="J95" s="1"/>
      <c r="K95" s="5"/>
      <c r="L95" s="12" t="s">
        <v>48</v>
      </c>
      <c r="M95" s="13">
        <v>20.399999999999999</v>
      </c>
    </row>
    <row r="96" spans="10:13" x14ac:dyDescent="0.2">
      <c r="J96" s="1"/>
      <c r="K96" s="2" t="s">
        <v>21</v>
      </c>
      <c r="L96" t="s">
        <v>47</v>
      </c>
      <c r="M96" s="11">
        <v>21.7</v>
      </c>
    </row>
    <row r="97" spans="10:13" x14ac:dyDescent="0.2">
      <c r="J97" s="1"/>
      <c r="K97" s="5"/>
      <c r="L97" s="12" t="s">
        <v>48</v>
      </c>
      <c r="M97" s="13">
        <v>26.7</v>
      </c>
    </row>
    <row r="98" spans="10:13" x14ac:dyDescent="0.2">
      <c r="J98" s="1"/>
      <c r="K98" s="2" t="s">
        <v>22</v>
      </c>
      <c r="L98" t="s">
        <v>47</v>
      </c>
      <c r="M98" s="11">
        <v>5.4</v>
      </c>
    </row>
    <row r="99" spans="10:13" x14ac:dyDescent="0.2">
      <c r="J99" s="1"/>
      <c r="K99" s="5"/>
      <c r="L99" s="12" t="s">
        <v>48</v>
      </c>
      <c r="M99" s="13">
        <v>11.1</v>
      </c>
    </row>
    <row r="100" spans="10:13" x14ac:dyDescent="0.2">
      <c r="J100" s="1"/>
      <c r="K100" s="2" t="s">
        <v>23</v>
      </c>
      <c r="L100" t="s">
        <v>47</v>
      </c>
      <c r="M100" s="11">
        <v>3.9</v>
      </c>
    </row>
    <row r="101" spans="10:13" x14ac:dyDescent="0.2">
      <c r="J101" s="1"/>
      <c r="K101" s="5"/>
      <c r="L101" s="12" t="s">
        <v>48</v>
      </c>
      <c r="M101" s="13">
        <v>10</v>
      </c>
    </row>
    <row r="102" spans="10:13" x14ac:dyDescent="0.2">
      <c r="J102" s="1"/>
      <c r="K102" s="2" t="s">
        <v>24</v>
      </c>
      <c r="L102" t="s">
        <v>47</v>
      </c>
      <c r="M102" s="11">
        <v>5.4</v>
      </c>
    </row>
    <row r="103" spans="10:13" x14ac:dyDescent="0.2">
      <c r="J103" s="1"/>
      <c r="K103" s="5"/>
      <c r="L103" s="12" t="s">
        <v>48</v>
      </c>
      <c r="M103" s="13">
        <v>4.4000000000000004</v>
      </c>
    </row>
    <row r="104" spans="10:13" x14ac:dyDescent="0.2">
      <c r="J104" s="1"/>
    </row>
    <row r="105" spans="10:13" x14ac:dyDescent="0.2">
      <c r="J105" s="1"/>
    </row>
    <row r="106" spans="10:13" x14ac:dyDescent="0.2">
      <c r="J106" s="1"/>
    </row>
    <row r="108" spans="10:13" x14ac:dyDescent="0.2">
      <c r="J108" s="1"/>
    </row>
    <row r="109" spans="10:13" x14ac:dyDescent="0.2">
      <c r="J109" s="1"/>
    </row>
    <row r="110" spans="10:13" x14ac:dyDescent="0.2">
      <c r="J110" s="1"/>
    </row>
    <row r="111" spans="10:13" x14ac:dyDescent="0.2">
      <c r="J111" s="1"/>
    </row>
    <row r="112" spans="10:13" x14ac:dyDescent="0.2">
      <c r="J112" s="1"/>
    </row>
    <row r="113" spans="10:14" x14ac:dyDescent="0.2">
      <c r="J113" s="1"/>
    </row>
    <row r="114" spans="10:14" x14ac:dyDescent="0.2">
      <c r="J114" s="1"/>
      <c r="K114" s="2" t="s">
        <v>26</v>
      </c>
      <c r="L114" t="s">
        <v>47</v>
      </c>
      <c r="M114" s="11">
        <v>12.3</v>
      </c>
      <c r="N114" s="10" t="s">
        <v>25</v>
      </c>
    </row>
    <row r="115" spans="10:14" x14ac:dyDescent="0.2">
      <c r="J115" s="1"/>
      <c r="K115" s="5"/>
      <c r="L115" s="12" t="s">
        <v>48</v>
      </c>
      <c r="M115" s="13">
        <v>7.7</v>
      </c>
    </row>
    <row r="116" spans="10:14" x14ac:dyDescent="0.2">
      <c r="J116" s="1"/>
      <c r="K116" s="2" t="s">
        <v>27</v>
      </c>
      <c r="L116" t="s">
        <v>47</v>
      </c>
      <c r="M116" s="11">
        <v>61.6</v>
      </c>
    </row>
    <row r="117" spans="10:14" x14ac:dyDescent="0.2">
      <c r="J117" s="1"/>
      <c r="K117" s="5"/>
      <c r="L117" s="12" t="s">
        <v>48</v>
      </c>
      <c r="M117" s="13">
        <v>63.5</v>
      </c>
    </row>
    <row r="118" spans="10:14" x14ac:dyDescent="0.2">
      <c r="J118" s="1"/>
      <c r="K118" s="2" t="s">
        <v>28</v>
      </c>
      <c r="L118" t="s">
        <v>47</v>
      </c>
      <c r="M118" s="11">
        <v>92.6</v>
      </c>
    </row>
    <row r="119" spans="10:14" x14ac:dyDescent="0.2">
      <c r="J119" s="1"/>
      <c r="K119" s="5"/>
      <c r="L119" s="12" t="s">
        <v>48</v>
      </c>
      <c r="M119" s="13">
        <v>91.7</v>
      </c>
    </row>
    <row r="120" spans="10:14" x14ac:dyDescent="0.2">
      <c r="J120" s="1"/>
      <c r="K120" s="2" t="s">
        <v>29</v>
      </c>
      <c r="L120" t="s">
        <v>47</v>
      </c>
      <c r="M120" s="11">
        <v>63.7</v>
      </c>
    </row>
    <row r="121" spans="10:14" x14ac:dyDescent="0.2">
      <c r="J121" s="1"/>
      <c r="K121" s="5"/>
      <c r="L121" s="12" t="s">
        <v>48</v>
      </c>
      <c r="M121" s="13">
        <v>61.8</v>
      </c>
    </row>
    <row r="122" spans="10:14" x14ac:dyDescent="0.2">
      <c r="J122" s="1"/>
      <c r="K122" s="2" t="s">
        <v>30</v>
      </c>
      <c r="L122" t="s">
        <v>47</v>
      </c>
      <c r="M122" s="11">
        <v>54.1</v>
      </c>
    </row>
    <row r="123" spans="10:14" x14ac:dyDescent="0.2">
      <c r="J123" s="1"/>
      <c r="K123" s="5"/>
      <c r="L123" s="12" t="s">
        <v>48</v>
      </c>
      <c r="M123" s="13">
        <v>57.6</v>
      </c>
    </row>
    <row r="124" spans="10:14" x14ac:dyDescent="0.2">
      <c r="J124" s="1"/>
      <c r="K124" s="2" t="s">
        <v>31</v>
      </c>
      <c r="L124" t="s">
        <v>47</v>
      </c>
      <c r="M124" s="11">
        <v>2.2000000000000002</v>
      </c>
    </row>
    <row r="125" spans="10:14" x14ac:dyDescent="0.2">
      <c r="J125" s="1"/>
      <c r="K125" s="5"/>
      <c r="L125" s="12" t="s">
        <v>48</v>
      </c>
      <c r="M125" s="13">
        <v>3.5</v>
      </c>
    </row>
    <row r="126" spans="10:14" x14ac:dyDescent="0.2">
      <c r="J126" s="1"/>
      <c r="K126" s="2" t="s">
        <v>32</v>
      </c>
      <c r="L126" t="s">
        <v>47</v>
      </c>
      <c r="M126" s="11">
        <v>54.5</v>
      </c>
    </row>
    <row r="127" spans="10:14" x14ac:dyDescent="0.2">
      <c r="J127" s="1"/>
      <c r="K127" s="5"/>
      <c r="L127" s="12" t="s">
        <v>48</v>
      </c>
      <c r="M127" s="13">
        <v>44.1</v>
      </c>
    </row>
    <row r="128" spans="10:14" x14ac:dyDescent="0.2">
      <c r="J128" s="1"/>
      <c r="K128" s="2" t="s">
        <v>33</v>
      </c>
      <c r="L128" t="s">
        <v>47</v>
      </c>
      <c r="M128" s="11">
        <v>38.6</v>
      </c>
    </row>
    <row r="129" spans="10:13" x14ac:dyDescent="0.2">
      <c r="J129" s="1"/>
      <c r="K129" s="5"/>
      <c r="L129" s="12" t="s">
        <v>48</v>
      </c>
      <c r="M129" s="13">
        <v>32.299999999999997</v>
      </c>
    </row>
    <row r="130" spans="10:13" x14ac:dyDescent="0.2">
      <c r="J130" s="1"/>
      <c r="K130" s="2" t="s">
        <v>34</v>
      </c>
      <c r="L130" t="s">
        <v>47</v>
      </c>
      <c r="M130" s="11">
        <v>79.5</v>
      </c>
    </row>
    <row r="131" spans="10:13" x14ac:dyDescent="0.2">
      <c r="J131" s="1"/>
      <c r="K131" s="5"/>
      <c r="L131" s="12" t="s">
        <v>48</v>
      </c>
      <c r="M131" s="13">
        <v>74.099999999999994</v>
      </c>
    </row>
    <row r="132" spans="10:13" x14ac:dyDescent="0.2">
      <c r="J132" s="1"/>
      <c r="K132" s="2" t="s">
        <v>35</v>
      </c>
      <c r="L132" t="s">
        <v>47</v>
      </c>
      <c r="M132" s="11">
        <v>53.7</v>
      </c>
    </row>
    <row r="133" spans="10:13" x14ac:dyDescent="0.2">
      <c r="J133" s="1"/>
      <c r="K133" s="5"/>
      <c r="L133" s="12" t="s">
        <v>48</v>
      </c>
      <c r="M133" s="13">
        <v>44.6</v>
      </c>
    </row>
    <row r="134" spans="10:13" x14ac:dyDescent="0.2">
      <c r="K134" s="2" t="s">
        <v>36</v>
      </c>
      <c r="L134" t="s">
        <v>47</v>
      </c>
      <c r="M134" s="11">
        <v>23.5</v>
      </c>
    </row>
    <row r="135" spans="10:13" x14ac:dyDescent="0.2">
      <c r="J135" s="1"/>
      <c r="K135" s="5"/>
      <c r="L135" s="12" t="s">
        <v>48</v>
      </c>
      <c r="M135" s="13">
        <v>14.9</v>
      </c>
    </row>
    <row r="136" spans="10:13" x14ac:dyDescent="0.2">
      <c r="J136" s="1"/>
      <c r="K136" s="2" t="s">
        <v>37</v>
      </c>
      <c r="L136" t="s">
        <v>47</v>
      </c>
      <c r="M136" s="11">
        <v>12.8</v>
      </c>
    </row>
    <row r="137" spans="10:13" x14ac:dyDescent="0.2">
      <c r="J137" s="1"/>
      <c r="K137" s="5"/>
      <c r="L137" s="12" t="s">
        <v>48</v>
      </c>
      <c r="M137" s="13">
        <v>8</v>
      </c>
    </row>
    <row r="138" spans="10:13" x14ac:dyDescent="0.2">
      <c r="J138" s="1"/>
      <c r="K138" s="2" t="s">
        <v>38</v>
      </c>
      <c r="L138" t="s">
        <v>47</v>
      </c>
      <c r="M138" s="11">
        <v>18</v>
      </c>
    </row>
    <row r="139" spans="10:13" x14ac:dyDescent="0.2">
      <c r="J139" s="1"/>
      <c r="K139" s="5"/>
      <c r="L139" s="12" t="s">
        <v>48</v>
      </c>
      <c r="M139" s="13">
        <v>17.899999999999999</v>
      </c>
    </row>
    <row r="140" spans="10:13" x14ac:dyDescent="0.2">
      <c r="J140" s="1"/>
    </row>
    <row r="141" spans="10:13" x14ac:dyDescent="0.2">
      <c r="J141" s="1"/>
    </row>
    <row r="142" spans="10:13" x14ac:dyDescent="0.2">
      <c r="J142" s="1"/>
    </row>
    <row r="143" spans="10:13" x14ac:dyDescent="0.2">
      <c r="J143" s="1"/>
    </row>
    <row r="144" spans="10:13" x14ac:dyDescent="0.2">
      <c r="J144" s="1"/>
    </row>
    <row r="145" spans="10:14" x14ac:dyDescent="0.2">
      <c r="J145" s="1"/>
    </row>
    <row r="146" spans="10:14" x14ac:dyDescent="0.2">
      <c r="J146" s="1"/>
    </row>
    <row r="147" spans="10:14" x14ac:dyDescent="0.2">
      <c r="J147" s="1"/>
    </row>
    <row r="148" spans="10:14" x14ac:dyDescent="0.2">
      <c r="J148" s="1"/>
    </row>
    <row r="149" spans="10:14" x14ac:dyDescent="0.2">
      <c r="J149" s="1"/>
    </row>
    <row r="150" spans="10:14" x14ac:dyDescent="0.2">
      <c r="J150" s="1"/>
    </row>
    <row r="151" spans="10:14" x14ac:dyDescent="0.2">
      <c r="J151" s="1"/>
    </row>
    <row r="152" spans="10:14" x14ac:dyDescent="0.2">
      <c r="J152" s="1"/>
    </row>
    <row r="153" spans="10:14" x14ac:dyDescent="0.2">
      <c r="J153" s="1"/>
    </row>
    <row r="154" spans="10:14" x14ac:dyDescent="0.2">
      <c r="J154" s="1"/>
      <c r="K154" s="2" t="s">
        <v>26</v>
      </c>
      <c r="L154" t="s">
        <v>47</v>
      </c>
      <c r="M154" s="11">
        <v>5.2</v>
      </c>
      <c r="N154" s="10" t="s">
        <v>39</v>
      </c>
    </row>
    <row r="155" spans="10:14" x14ac:dyDescent="0.2">
      <c r="J155" s="1"/>
      <c r="K155" s="5"/>
      <c r="L155" s="12" t="s">
        <v>48</v>
      </c>
      <c r="M155" s="13">
        <v>5.3</v>
      </c>
    </row>
    <row r="156" spans="10:14" x14ac:dyDescent="0.2">
      <c r="J156" s="1"/>
      <c r="K156" s="2" t="s">
        <v>27</v>
      </c>
      <c r="L156" t="s">
        <v>47</v>
      </c>
      <c r="M156" s="11">
        <v>6.8</v>
      </c>
    </row>
    <row r="157" spans="10:14" x14ac:dyDescent="0.2">
      <c r="J157" s="1"/>
      <c r="K157" s="5"/>
      <c r="L157" s="12" t="s">
        <v>48</v>
      </c>
      <c r="M157" s="13">
        <v>5.7</v>
      </c>
    </row>
    <row r="158" spans="10:14" x14ac:dyDescent="0.2">
      <c r="J158" s="1"/>
      <c r="K158" s="2" t="s">
        <v>28</v>
      </c>
      <c r="L158" t="s">
        <v>47</v>
      </c>
      <c r="M158" s="11">
        <v>6.9</v>
      </c>
    </row>
    <row r="159" spans="10:14" x14ac:dyDescent="0.2">
      <c r="J159" s="1"/>
      <c r="K159" s="5"/>
      <c r="L159" s="12" t="s">
        <v>48</v>
      </c>
      <c r="M159" s="13">
        <v>5.5</v>
      </c>
    </row>
    <row r="160" spans="10:14" x14ac:dyDescent="0.2">
      <c r="K160" s="2" t="s">
        <v>29</v>
      </c>
      <c r="L160" t="s">
        <v>47</v>
      </c>
      <c r="M160" s="11">
        <v>7.6</v>
      </c>
    </row>
    <row r="161" spans="11:19" x14ac:dyDescent="0.2">
      <c r="K161" s="5"/>
      <c r="L161" s="12" t="s">
        <v>48</v>
      </c>
      <c r="M161" s="13">
        <v>5.5</v>
      </c>
    </row>
    <row r="162" spans="11:19" x14ac:dyDescent="0.2">
      <c r="K162" s="2" t="s">
        <v>30</v>
      </c>
      <c r="L162" t="s">
        <v>47</v>
      </c>
      <c r="M162" s="11">
        <v>7.1</v>
      </c>
    </row>
    <row r="163" spans="11:19" x14ac:dyDescent="0.2">
      <c r="K163" s="5"/>
      <c r="L163" s="12" t="s">
        <v>48</v>
      </c>
      <c r="M163" s="13">
        <v>3.6</v>
      </c>
    </row>
    <row r="164" spans="11:19" x14ac:dyDescent="0.2">
      <c r="K164" s="2" t="s">
        <v>31</v>
      </c>
      <c r="L164" t="s">
        <v>47</v>
      </c>
      <c r="M164" s="11">
        <v>4.5999999999999996</v>
      </c>
    </row>
    <row r="165" spans="11:19" x14ac:dyDescent="0.2">
      <c r="K165" s="5"/>
      <c r="L165" s="12" t="s">
        <v>48</v>
      </c>
      <c r="M165" s="13">
        <v>5.5</v>
      </c>
    </row>
    <row r="166" spans="11:19" x14ac:dyDescent="0.2">
      <c r="K166" s="2" t="s">
        <v>32</v>
      </c>
      <c r="L166" t="s">
        <v>47</v>
      </c>
      <c r="M166" s="11">
        <v>9.1999999999999993</v>
      </c>
    </row>
    <row r="167" spans="11:19" x14ac:dyDescent="0.2">
      <c r="K167" s="5"/>
      <c r="L167" s="12" t="s">
        <v>48</v>
      </c>
      <c r="M167" s="13">
        <v>6.3</v>
      </c>
    </row>
    <row r="168" spans="11:19" x14ac:dyDescent="0.2">
      <c r="K168" s="2" t="s">
        <v>33</v>
      </c>
      <c r="L168" t="s">
        <v>47</v>
      </c>
      <c r="M168" s="11">
        <v>3.1</v>
      </c>
    </row>
    <row r="169" spans="11:19" x14ac:dyDescent="0.2">
      <c r="K169" s="5"/>
      <c r="L169" s="12" t="s">
        <v>48</v>
      </c>
      <c r="M169" s="13">
        <v>4.4000000000000004</v>
      </c>
    </row>
    <row r="170" spans="11:19" x14ac:dyDescent="0.2">
      <c r="K170" s="2" t="s">
        <v>34</v>
      </c>
      <c r="L170" t="s">
        <v>47</v>
      </c>
      <c r="M170" s="11">
        <v>5.5</v>
      </c>
    </row>
    <row r="171" spans="11:19" x14ac:dyDescent="0.2">
      <c r="K171" s="5"/>
      <c r="L171" s="12" t="s">
        <v>48</v>
      </c>
      <c r="M171" s="13">
        <v>5.0999999999999996</v>
      </c>
    </row>
    <row r="172" spans="11:19" x14ac:dyDescent="0.2">
      <c r="K172" s="2" t="s">
        <v>35</v>
      </c>
      <c r="L172" t="s">
        <v>47</v>
      </c>
      <c r="M172" s="11">
        <v>4</v>
      </c>
    </row>
    <row r="173" spans="11:19" x14ac:dyDescent="0.2">
      <c r="K173" s="5"/>
      <c r="L173" s="12" t="s">
        <v>48</v>
      </c>
      <c r="M173" s="13">
        <v>6.6</v>
      </c>
    </row>
    <row r="174" spans="11:19" x14ac:dyDescent="0.2">
      <c r="K174" s="2" t="s">
        <v>36</v>
      </c>
      <c r="L174" t="s">
        <v>47</v>
      </c>
      <c r="M174" s="11">
        <v>5.6</v>
      </c>
    </row>
    <row r="175" spans="11:19" x14ac:dyDescent="0.2">
      <c r="K175" s="5"/>
      <c r="L175" s="12" t="s">
        <v>48</v>
      </c>
      <c r="M175" s="13">
        <v>3.6</v>
      </c>
      <c r="Q175" s="2"/>
      <c r="S175" s="11"/>
    </row>
    <row r="176" spans="11:19" x14ac:dyDescent="0.2">
      <c r="K176" s="2" t="s">
        <v>37</v>
      </c>
      <c r="L176" t="s">
        <v>47</v>
      </c>
      <c r="M176" s="11">
        <v>8.1</v>
      </c>
    </row>
    <row r="177" spans="11:13" x14ac:dyDescent="0.2">
      <c r="K177" s="5"/>
      <c r="L177" s="12" t="s">
        <v>48</v>
      </c>
      <c r="M177" s="13">
        <v>3.9</v>
      </c>
    </row>
    <row r="178" spans="11:13" x14ac:dyDescent="0.2">
      <c r="K178" s="2" t="s">
        <v>38</v>
      </c>
      <c r="L178" t="s">
        <v>47</v>
      </c>
      <c r="M178" s="11">
        <v>6.3</v>
      </c>
    </row>
    <row r="179" spans="11:13" x14ac:dyDescent="0.2">
      <c r="K179" s="5"/>
      <c r="L179" s="12" t="s">
        <v>48</v>
      </c>
      <c r="M179" s="13">
        <v>4.0999999999999996</v>
      </c>
    </row>
    <row r="194" spans="11:19" x14ac:dyDescent="0.2">
      <c r="K194" s="2" t="s">
        <v>26</v>
      </c>
      <c r="L194" t="s">
        <v>47</v>
      </c>
      <c r="M194" s="11">
        <v>73.099999999999994</v>
      </c>
      <c r="N194" s="10" t="s">
        <v>40</v>
      </c>
    </row>
    <row r="195" spans="11:19" x14ac:dyDescent="0.2">
      <c r="K195" s="5"/>
      <c r="L195" s="12" t="s">
        <v>48</v>
      </c>
      <c r="M195" s="13">
        <v>71.8</v>
      </c>
    </row>
    <row r="196" spans="11:19" x14ac:dyDescent="0.2">
      <c r="K196" s="2" t="s">
        <v>27</v>
      </c>
      <c r="L196" t="s">
        <v>47</v>
      </c>
      <c r="M196" s="11">
        <v>48.9</v>
      </c>
    </row>
    <row r="197" spans="11:19" x14ac:dyDescent="0.2">
      <c r="K197" s="5"/>
      <c r="L197" s="12" t="s">
        <v>48</v>
      </c>
      <c r="M197" s="13">
        <v>48.7</v>
      </c>
    </row>
    <row r="198" spans="11:19" x14ac:dyDescent="0.2">
      <c r="K198" s="2" t="s">
        <v>28</v>
      </c>
      <c r="L198" t="s">
        <v>47</v>
      </c>
      <c r="M198" s="11">
        <v>32.6</v>
      </c>
    </row>
    <row r="199" spans="11:19" x14ac:dyDescent="0.2">
      <c r="K199" s="5"/>
      <c r="L199" s="12" t="s">
        <v>48</v>
      </c>
      <c r="M199" s="13">
        <v>30.8</v>
      </c>
    </row>
    <row r="200" spans="11:19" x14ac:dyDescent="0.2">
      <c r="K200" s="2" t="s">
        <v>29</v>
      </c>
      <c r="L200" t="s">
        <v>47</v>
      </c>
      <c r="M200" s="11">
        <v>45.4</v>
      </c>
    </row>
    <row r="201" spans="11:19" x14ac:dyDescent="0.2">
      <c r="K201" s="5"/>
      <c r="L201" s="12" t="s">
        <v>48</v>
      </c>
      <c r="M201" s="13">
        <v>39.5</v>
      </c>
    </row>
    <row r="202" spans="11:19" x14ac:dyDescent="0.2">
      <c r="K202" s="2" t="s">
        <v>30</v>
      </c>
      <c r="L202" t="s">
        <v>47</v>
      </c>
      <c r="M202" s="11">
        <v>45.2</v>
      </c>
      <c r="Q202" s="2"/>
      <c r="S202" s="11"/>
    </row>
    <row r="203" spans="11:19" x14ac:dyDescent="0.2">
      <c r="K203" s="5"/>
      <c r="L203" s="12" t="s">
        <v>48</v>
      </c>
      <c r="M203" s="13">
        <v>39.799999999999997</v>
      </c>
    </row>
    <row r="204" spans="11:19" x14ac:dyDescent="0.2">
      <c r="K204" s="2" t="s">
        <v>31</v>
      </c>
      <c r="L204" t="s">
        <v>47</v>
      </c>
      <c r="M204" s="11">
        <v>36.4</v>
      </c>
    </row>
    <row r="205" spans="11:19" x14ac:dyDescent="0.2">
      <c r="K205" s="5"/>
      <c r="L205" s="12" t="s">
        <v>48</v>
      </c>
      <c r="M205" s="13">
        <v>26.7</v>
      </c>
    </row>
    <row r="206" spans="11:19" x14ac:dyDescent="0.2">
      <c r="K206" s="2" t="s">
        <v>32</v>
      </c>
      <c r="L206" t="s">
        <v>47</v>
      </c>
      <c r="M206" s="11">
        <v>58.9</v>
      </c>
    </row>
    <row r="207" spans="11:19" x14ac:dyDescent="0.2">
      <c r="K207" s="5"/>
      <c r="L207" s="12" t="s">
        <v>48</v>
      </c>
      <c r="M207" s="13">
        <v>60.4</v>
      </c>
    </row>
    <row r="208" spans="11:19" x14ac:dyDescent="0.2">
      <c r="K208" s="2" t="s">
        <v>33</v>
      </c>
      <c r="L208" t="s">
        <v>47</v>
      </c>
      <c r="M208" s="11">
        <v>45.7</v>
      </c>
    </row>
    <row r="209" spans="11:13" x14ac:dyDescent="0.2">
      <c r="K209" s="5"/>
      <c r="L209" s="12" t="s">
        <v>48</v>
      </c>
      <c r="M209" s="13">
        <v>48.2</v>
      </c>
    </row>
    <row r="210" spans="11:13" x14ac:dyDescent="0.2">
      <c r="K210" s="2" t="s">
        <v>34</v>
      </c>
      <c r="L210" t="s">
        <v>47</v>
      </c>
      <c r="M210" s="11">
        <v>28.7</v>
      </c>
    </row>
    <row r="211" spans="11:13" x14ac:dyDescent="0.2">
      <c r="K211" s="5"/>
      <c r="L211" s="12" t="s">
        <v>48</v>
      </c>
      <c r="M211" s="13">
        <v>27.1</v>
      </c>
    </row>
    <row r="212" spans="11:13" x14ac:dyDescent="0.2">
      <c r="K212" s="2" t="s">
        <v>35</v>
      </c>
      <c r="L212" t="s">
        <v>47</v>
      </c>
      <c r="M212" s="11">
        <v>62.2</v>
      </c>
    </row>
    <row r="213" spans="11:13" x14ac:dyDescent="0.2">
      <c r="K213" s="5"/>
      <c r="L213" s="12" t="s">
        <v>48</v>
      </c>
      <c r="M213" s="13">
        <v>61.4</v>
      </c>
    </row>
    <row r="214" spans="11:13" x14ac:dyDescent="0.2">
      <c r="K214" s="2" t="s">
        <v>36</v>
      </c>
      <c r="L214" t="s">
        <v>47</v>
      </c>
      <c r="M214" s="11">
        <v>68.3</v>
      </c>
    </row>
    <row r="215" spans="11:13" x14ac:dyDescent="0.2">
      <c r="K215" s="5"/>
      <c r="L215" s="12" t="s">
        <v>48</v>
      </c>
      <c r="M215" s="13">
        <v>61.8</v>
      </c>
    </row>
    <row r="216" spans="11:13" x14ac:dyDescent="0.2">
      <c r="K216" s="2" t="s">
        <v>37</v>
      </c>
      <c r="L216" t="s">
        <v>47</v>
      </c>
      <c r="M216" s="11">
        <v>49.6</v>
      </c>
    </row>
    <row r="217" spans="11:13" x14ac:dyDescent="0.2">
      <c r="K217" s="5"/>
      <c r="L217" s="12" t="s">
        <v>48</v>
      </c>
      <c r="M217" s="13">
        <v>43</v>
      </c>
    </row>
    <row r="218" spans="11:13" x14ac:dyDescent="0.2">
      <c r="K218" s="2" t="s">
        <v>38</v>
      </c>
      <c r="L218" t="s">
        <v>47</v>
      </c>
      <c r="M218" s="11">
        <v>53.6</v>
      </c>
    </row>
    <row r="219" spans="11:13" x14ac:dyDescent="0.2">
      <c r="K219" s="5"/>
      <c r="L219" s="12" t="s">
        <v>48</v>
      </c>
      <c r="M219" s="13">
        <v>45.7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J1:Q389"/>
  <sheetViews>
    <sheetView topLeftCell="G352" zoomScale="80" zoomScaleNormal="80" workbookViewId="0">
      <selection activeCell="P380" sqref="P380"/>
    </sheetView>
  </sheetViews>
  <sheetFormatPr baseColWidth="10" defaultColWidth="8.83203125" defaultRowHeight="15" x14ac:dyDescent="0.2"/>
  <cols>
    <col min="1" max="10" width="11" customWidth="1"/>
    <col min="11" max="11" width="4.6640625" style="2" bestFit="1" customWidth="1"/>
    <col min="12" max="12" width="40.5" bestFit="1" customWidth="1"/>
    <col min="13" max="13" width="9.1640625" style="17"/>
    <col min="14" max="14" width="4.5" customWidth="1"/>
    <col min="15" max="15" width="5" customWidth="1"/>
    <col min="16" max="16" width="40.5" bestFit="1" customWidth="1"/>
  </cols>
  <sheetData>
    <row r="1" spans="11:17" ht="16" x14ac:dyDescent="0.2">
      <c r="M1" s="23" t="s">
        <v>41</v>
      </c>
      <c r="Q1" s="23" t="s">
        <v>41</v>
      </c>
    </row>
    <row r="2" spans="11:17" x14ac:dyDescent="0.2">
      <c r="K2" s="2">
        <v>13</v>
      </c>
      <c r="L2" t="s">
        <v>49</v>
      </c>
      <c r="M2" s="17" t="s">
        <v>66</v>
      </c>
      <c r="O2" s="5">
        <v>14</v>
      </c>
      <c r="P2" s="12" t="s">
        <v>49</v>
      </c>
      <c r="Q2" s="18" t="s">
        <v>66</v>
      </c>
    </row>
    <row r="3" spans="11:17" x14ac:dyDescent="0.2">
      <c r="L3" t="s">
        <v>50</v>
      </c>
      <c r="M3" s="17" t="s">
        <v>66</v>
      </c>
      <c r="O3" s="5"/>
      <c r="P3" s="12" t="s">
        <v>50</v>
      </c>
      <c r="Q3" s="18">
        <v>24</v>
      </c>
    </row>
    <row r="4" spans="11:17" x14ac:dyDescent="0.2">
      <c r="L4" t="s">
        <v>51</v>
      </c>
      <c r="M4" s="17">
        <v>6.6</v>
      </c>
      <c r="O4" s="5"/>
      <c r="P4" s="12" t="s">
        <v>51</v>
      </c>
      <c r="Q4" s="18">
        <f>7+1.9</f>
        <v>8.9</v>
      </c>
    </row>
    <row r="5" spans="11:17" x14ac:dyDescent="0.2">
      <c r="L5" t="s">
        <v>52</v>
      </c>
      <c r="M5" s="17">
        <f>3.3+3.6</f>
        <v>6.9</v>
      </c>
      <c r="O5" s="5"/>
      <c r="P5" s="12" t="s">
        <v>52</v>
      </c>
      <c r="Q5" s="18">
        <f>10.1+5.5</f>
        <v>15.6</v>
      </c>
    </row>
    <row r="6" spans="11:17" x14ac:dyDescent="0.2">
      <c r="L6" t="s">
        <v>53</v>
      </c>
      <c r="M6" s="17" t="s">
        <v>66</v>
      </c>
      <c r="O6" s="5"/>
      <c r="P6" s="12" t="s">
        <v>53</v>
      </c>
      <c r="Q6" s="18" t="s">
        <v>66</v>
      </c>
    </row>
    <row r="7" spans="11:17" x14ac:dyDescent="0.2">
      <c r="L7" t="s">
        <v>54</v>
      </c>
      <c r="M7" s="17" t="s">
        <v>66</v>
      </c>
      <c r="O7" s="5"/>
      <c r="P7" s="12" t="s">
        <v>54</v>
      </c>
      <c r="Q7" s="18" t="s">
        <v>66</v>
      </c>
    </row>
    <row r="8" spans="11:17" x14ac:dyDescent="0.2">
      <c r="L8" t="s">
        <v>55</v>
      </c>
      <c r="M8" s="17">
        <f>2.5+0.1</f>
        <v>2.6</v>
      </c>
      <c r="O8" s="5"/>
      <c r="P8" s="12" t="s">
        <v>55</v>
      </c>
      <c r="Q8" s="18">
        <f>10.5+0.1</f>
        <v>10.6</v>
      </c>
    </row>
    <row r="9" spans="11:17" x14ac:dyDescent="0.2">
      <c r="L9" t="s">
        <v>56</v>
      </c>
      <c r="M9" s="17">
        <v>2.7</v>
      </c>
      <c r="O9" s="5"/>
      <c r="P9" s="12" t="s">
        <v>56</v>
      </c>
      <c r="Q9" s="18" t="s">
        <v>66</v>
      </c>
    </row>
    <row r="10" spans="11:17" x14ac:dyDescent="0.2">
      <c r="L10" t="s">
        <v>57</v>
      </c>
      <c r="M10" s="17" t="s">
        <v>66</v>
      </c>
      <c r="O10" s="5"/>
      <c r="P10" s="12" t="s">
        <v>57</v>
      </c>
      <c r="Q10" s="18">
        <f>4.5+8.2</f>
        <v>12.7</v>
      </c>
    </row>
    <row r="11" spans="11:17" x14ac:dyDescent="0.2">
      <c r="L11" t="s">
        <v>58</v>
      </c>
      <c r="M11" s="17" t="s">
        <v>66</v>
      </c>
      <c r="O11" s="5"/>
      <c r="P11" s="12" t="s">
        <v>58</v>
      </c>
      <c r="Q11" s="18">
        <f>2.3+2.3</f>
        <v>4.5999999999999996</v>
      </c>
    </row>
    <row r="16" spans="11:17" x14ac:dyDescent="0.2">
      <c r="K16" s="2" t="s">
        <v>0</v>
      </c>
      <c r="L16" t="s">
        <v>49</v>
      </c>
      <c r="M16" s="17" t="s">
        <v>66</v>
      </c>
      <c r="O16" s="5">
        <v>20</v>
      </c>
      <c r="P16" s="12" t="s">
        <v>49</v>
      </c>
      <c r="Q16" s="18" t="s">
        <v>66</v>
      </c>
    </row>
    <row r="17" spans="11:17" x14ac:dyDescent="0.2">
      <c r="L17" t="s">
        <v>50</v>
      </c>
      <c r="M17" s="17">
        <v>22.7</v>
      </c>
      <c r="O17" s="5"/>
      <c r="P17" s="12" t="s">
        <v>50</v>
      </c>
      <c r="Q17" s="18" t="s">
        <v>66</v>
      </c>
    </row>
    <row r="18" spans="11:17" x14ac:dyDescent="0.2">
      <c r="L18" t="s">
        <v>51</v>
      </c>
      <c r="M18" s="17">
        <v>15.2</v>
      </c>
      <c r="O18" s="5"/>
      <c r="P18" s="12" t="s">
        <v>51</v>
      </c>
      <c r="Q18" s="18">
        <v>35.4</v>
      </c>
    </row>
    <row r="19" spans="11:17" x14ac:dyDescent="0.2">
      <c r="L19" t="s">
        <v>52</v>
      </c>
      <c r="M19" s="17">
        <v>16.899999999999999</v>
      </c>
      <c r="O19" s="5"/>
      <c r="P19" s="12" t="s">
        <v>52</v>
      </c>
      <c r="Q19" s="18">
        <v>26.2</v>
      </c>
    </row>
    <row r="20" spans="11:17" ht="15" customHeight="1" x14ac:dyDescent="0.2">
      <c r="L20" t="s">
        <v>53</v>
      </c>
      <c r="M20" s="17" t="s">
        <v>66</v>
      </c>
      <c r="O20" s="5"/>
      <c r="P20" s="12" t="s">
        <v>53</v>
      </c>
      <c r="Q20" s="18" t="s">
        <v>66</v>
      </c>
    </row>
    <row r="21" spans="11:17" x14ac:dyDescent="0.2">
      <c r="L21" t="s">
        <v>54</v>
      </c>
      <c r="M21" s="17" t="s">
        <v>66</v>
      </c>
      <c r="O21" s="5"/>
      <c r="P21" s="12" t="s">
        <v>54</v>
      </c>
      <c r="Q21" s="18" t="s">
        <v>66</v>
      </c>
    </row>
    <row r="22" spans="11:17" x14ac:dyDescent="0.2">
      <c r="L22" t="s">
        <v>55</v>
      </c>
      <c r="M22" s="17">
        <v>34.4</v>
      </c>
      <c r="O22" s="5"/>
      <c r="P22" s="12" t="s">
        <v>55</v>
      </c>
      <c r="Q22" s="18">
        <v>23.3</v>
      </c>
    </row>
    <row r="23" spans="11:17" x14ac:dyDescent="0.2">
      <c r="L23" t="s">
        <v>56</v>
      </c>
      <c r="M23" s="17">
        <v>2.7</v>
      </c>
      <c r="O23" s="5"/>
      <c r="P23" s="12" t="s">
        <v>56</v>
      </c>
      <c r="Q23" s="18">
        <v>45.9</v>
      </c>
    </row>
    <row r="24" spans="11:17" x14ac:dyDescent="0.2">
      <c r="L24" t="s">
        <v>57</v>
      </c>
      <c r="M24" s="17">
        <v>27.3</v>
      </c>
      <c r="O24" s="5"/>
      <c r="P24" s="12" t="s">
        <v>57</v>
      </c>
      <c r="Q24" s="18">
        <v>20.8</v>
      </c>
    </row>
    <row r="25" spans="11:17" x14ac:dyDescent="0.2">
      <c r="L25" t="s">
        <v>58</v>
      </c>
      <c r="M25" s="17">
        <v>81.400000000000006</v>
      </c>
      <c r="O25" s="5"/>
      <c r="P25" s="12" t="s">
        <v>58</v>
      </c>
      <c r="Q25" s="18">
        <v>81.400000000000006</v>
      </c>
    </row>
    <row r="28" spans="11:17" x14ac:dyDescent="0.2">
      <c r="K28" s="2" t="s">
        <v>1</v>
      </c>
      <c r="L28" t="s">
        <v>49</v>
      </c>
      <c r="M28" s="17">
        <v>100</v>
      </c>
      <c r="O28" s="2" t="s">
        <v>5</v>
      </c>
      <c r="P28" t="s">
        <v>49</v>
      </c>
      <c r="Q28" s="17">
        <v>100</v>
      </c>
    </row>
    <row r="29" spans="11:17" x14ac:dyDescent="0.2">
      <c r="L29" t="s">
        <v>50</v>
      </c>
      <c r="M29" s="17">
        <v>2.7</v>
      </c>
      <c r="O29" s="2"/>
      <c r="P29" t="s">
        <v>50</v>
      </c>
      <c r="Q29" s="17">
        <f>1.3+49.3</f>
        <v>50.599999999999994</v>
      </c>
    </row>
    <row r="30" spans="11:17" x14ac:dyDescent="0.2">
      <c r="L30" t="s">
        <v>51</v>
      </c>
      <c r="M30" s="17">
        <f>0.4+16.7</f>
        <v>17.099999999999998</v>
      </c>
      <c r="O30" s="2"/>
      <c r="P30" t="s">
        <v>51</v>
      </c>
      <c r="Q30" s="17">
        <f>15.5+51.2</f>
        <v>66.7</v>
      </c>
    </row>
    <row r="31" spans="11:17" x14ac:dyDescent="0.2">
      <c r="L31" t="s">
        <v>52</v>
      </c>
      <c r="M31" s="17">
        <f>2.3+23.5</f>
        <v>25.8</v>
      </c>
      <c r="O31" s="2"/>
      <c r="P31" t="s">
        <v>52</v>
      </c>
      <c r="Q31" s="17">
        <f>19.6+36.4</f>
        <v>56</v>
      </c>
    </row>
    <row r="32" spans="11:17" x14ac:dyDescent="0.2">
      <c r="L32" t="s">
        <v>53</v>
      </c>
      <c r="M32" s="17" t="s">
        <v>66</v>
      </c>
      <c r="O32" s="2"/>
      <c r="P32" t="s">
        <v>53</v>
      </c>
      <c r="Q32" s="17" t="s">
        <v>66</v>
      </c>
    </row>
    <row r="33" spans="11:17" x14ac:dyDescent="0.2">
      <c r="L33" t="s">
        <v>54</v>
      </c>
      <c r="M33" s="17" t="s">
        <v>66</v>
      </c>
      <c r="O33" s="2"/>
      <c r="P33" t="s">
        <v>54</v>
      </c>
      <c r="Q33" s="17">
        <v>94.4</v>
      </c>
    </row>
    <row r="34" spans="11:17" x14ac:dyDescent="0.2">
      <c r="L34" t="s">
        <v>55</v>
      </c>
      <c r="M34" s="17">
        <f>5.2+22.4</f>
        <v>27.599999999999998</v>
      </c>
      <c r="O34" s="2"/>
      <c r="P34" t="s">
        <v>55</v>
      </c>
      <c r="Q34" s="17">
        <f>30.9+29.6</f>
        <v>60.5</v>
      </c>
    </row>
    <row r="35" spans="11:17" x14ac:dyDescent="0.2">
      <c r="L35" t="s">
        <v>56</v>
      </c>
      <c r="M35" s="17">
        <v>2.7</v>
      </c>
      <c r="O35" s="2"/>
      <c r="P35" t="s">
        <v>56</v>
      </c>
      <c r="Q35" s="17">
        <f>45.9+48.6</f>
        <v>94.5</v>
      </c>
    </row>
    <row r="36" spans="11:17" x14ac:dyDescent="0.2">
      <c r="L36" t="s">
        <v>57</v>
      </c>
      <c r="M36" s="17">
        <v>26.8</v>
      </c>
      <c r="O36" s="2"/>
      <c r="P36" t="s">
        <v>57</v>
      </c>
      <c r="Q36" s="17">
        <f>15.6+47.8</f>
        <v>63.4</v>
      </c>
    </row>
    <row r="37" spans="11:17" x14ac:dyDescent="0.2">
      <c r="L37" t="s">
        <v>58</v>
      </c>
      <c r="M37" s="17">
        <f>39.5+7</f>
        <v>46.5</v>
      </c>
      <c r="O37" s="2"/>
      <c r="P37" t="s">
        <v>58</v>
      </c>
      <c r="Q37" s="17">
        <f>41.8+51.2</f>
        <v>93</v>
      </c>
    </row>
    <row r="38" spans="11:17" x14ac:dyDescent="0.2">
      <c r="K38" s="5" t="s">
        <v>2</v>
      </c>
      <c r="L38" s="12" t="s">
        <v>49</v>
      </c>
      <c r="M38" s="18">
        <v>100</v>
      </c>
      <c r="O38" s="5" t="s">
        <v>6</v>
      </c>
      <c r="P38" s="12" t="s">
        <v>49</v>
      </c>
      <c r="Q38" s="18">
        <v>100</v>
      </c>
    </row>
    <row r="39" spans="11:17" x14ac:dyDescent="0.2">
      <c r="K39" s="5"/>
      <c r="L39" s="12" t="s">
        <v>50</v>
      </c>
      <c r="M39" s="18">
        <v>1.3</v>
      </c>
      <c r="O39" s="5"/>
      <c r="P39" s="12" t="s">
        <v>50</v>
      </c>
      <c r="Q39" s="18">
        <v>48</v>
      </c>
    </row>
    <row r="40" spans="11:17" x14ac:dyDescent="0.2">
      <c r="K40" s="5"/>
      <c r="L40" s="12" t="s">
        <v>51</v>
      </c>
      <c r="M40" s="18">
        <f>0.8+29.5</f>
        <v>30.3</v>
      </c>
      <c r="O40" s="5"/>
      <c r="P40" s="12" t="s">
        <v>51</v>
      </c>
      <c r="Q40" s="18">
        <f>15.5+8.9</f>
        <v>24.4</v>
      </c>
    </row>
    <row r="41" spans="11:17" x14ac:dyDescent="0.2">
      <c r="K41" s="5"/>
      <c r="L41" s="12" t="s">
        <v>52</v>
      </c>
      <c r="M41" s="18">
        <f>7.2+20.8</f>
        <v>28</v>
      </c>
      <c r="O41" s="5"/>
      <c r="P41" s="12" t="s">
        <v>52</v>
      </c>
      <c r="Q41" s="18">
        <f>19+34.8</f>
        <v>53.8</v>
      </c>
    </row>
    <row r="42" spans="11:17" x14ac:dyDescent="0.2">
      <c r="K42" s="5"/>
      <c r="L42" s="12" t="s">
        <v>53</v>
      </c>
      <c r="M42" s="18" t="s">
        <v>66</v>
      </c>
      <c r="O42" s="5"/>
      <c r="P42" s="12" t="s">
        <v>53</v>
      </c>
      <c r="Q42" s="18" t="s">
        <v>66</v>
      </c>
    </row>
    <row r="43" spans="11:17" x14ac:dyDescent="0.2">
      <c r="K43" s="5"/>
      <c r="L43" s="12" t="s">
        <v>54</v>
      </c>
      <c r="M43" s="18" t="s">
        <v>66</v>
      </c>
      <c r="O43" s="5"/>
      <c r="P43" s="12" t="s">
        <v>54</v>
      </c>
      <c r="Q43" s="18">
        <v>94.4</v>
      </c>
    </row>
    <row r="44" spans="11:17" x14ac:dyDescent="0.2">
      <c r="K44" s="5"/>
      <c r="L44" s="12" t="s">
        <v>55</v>
      </c>
      <c r="M44" s="18">
        <f>3.4+13.2</f>
        <v>16.599999999999998</v>
      </c>
      <c r="O44" s="5"/>
      <c r="P44" s="12" t="s">
        <v>55</v>
      </c>
      <c r="Q44" s="18">
        <f>37.8+26.8</f>
        <v>64.599999999999994</v>
      </c>
    </row>
    <row r="45" spans="11:17" x14ac:dyDescent="0.2">
      <c r="K45" s="5"/>
      <c r="L45" s="12" t="s">
        <v>56</v>
      </c>
      <c r="M45" s="18">
        <f>2.7+45.9</f>
        <v>48.6</v>
      </c>
      <c r="O45" s="5"/>
      <c r="P45" s="12" t="s">
        <v>56</v>
      </c>
      <c r="Q45" s="18">
        <v>45.9</v>
      </c>
    </row>
    <row r="46" spans="11:17" x14ac:dyDescent="0.2">
      <c r="K46" s="5"/>
      <c r="L46" s="12" t="s">
        <v>57</v>
      </c>
      <c r="M46" s="18">
        <f>3.9+17.8</f>
        <v>21.7</v>
      </c>
      <c r="O46" s="5"/>
      <c r="P46" s="12" t="s">
        <v>57</v>
      </c>
      <c r="Q46" s="18">
        <f>13.8+38.4</f>
        <v>52.2</v>
      </c>
    </row>
    <row r="47" spans="11:17" x14ac:dyDescent="0.2">
      <c r="K47" s="5"/>
      <c r="L47" s="12" t="s">
        <v>58</v>
      </c>
      <c r="M47" s="18">
        <f>39.5+4.7</f>
        <v>44.2</v>
      </c>
      <c r="O47" s="5"/>
      <c r="P47" s="12" t="s">
        <v>58</v>
      </c>
      <c r="Q47" s="18">
        <f>83.7+11.6</f>
        <v>95.3</v>
      </c>
    </row>
    <row r="48" spans="11:17" x14ac:dyDescent="0.2">
      <c r="K48" s="2" t="s">
        <v>3</v>
      </c>
      <c r="L48" t="s">
        <v>49</v>
      </c>
      <c r="M48" s="17">
        <v>100</v>
      </c>
      <c r="O48" s="2">
        <v>21</v>
      </c>
      <c r="P48" t="s">
        <v>49</v>
      </c>
      <c r="Q48" s="17">
        <v>100</v>
      </c>
    </row>
    <row r="49" spans="11:17" x14ac:dyDescent="0.2">
      <c r="L49" t="s">
        <v>50</v>
      </c>
      <c r="M49" s="17">
        <f>24+1.3</f>
        <v>25.3</v>
      </c>
      <c r="O49" s="2"/>
      <c r="P49" t="s">
        <v>50</v>
      </c>
      <c r="Q49" s="17">
        <v>32.799999999999997</v>
      </c>
    </row>
    <row r="50" spans="11:17" x14ac:dyDescent="0.2">
      <c r="L50" t="s">
        <v>51</v>
      </c>
      <c r="M50" s="17">
        <f>1.9+37</f>
        <v>38.9</v>
      </c>
      <c r="O50" s="2"/>
      <c r="P50" t="s">
        <v>51</v>
      </c>
      <c r="Q50" s="17">
        <v>41.6</v>
      </c>
    </row>
    <row r="51" spans="11:17" x14ac:dyDescent="0.2">
      <c r="L51" t="s">
        <v>52</v>
      </c>
      <c r="M51" s="17">
        <f>16.5+23.2</f>
        <v>39.700000000000003</v>
      </c>
      <c r="O51" s="2"/>
      <c r="P51" t="s">
        <v>52</v>
      </c>
      <c r="Q51" s="17">
        <v>53.7</v>
      </c>
    </row>
    <row r="52" spans="11:17" x14ac:dyDescent="0.2">
      <c r="L52" t="s">
        <v>53</v>
      </c>
      <c r="M52" s="17" t="s">
        <v>66</v>
      </c>
      <c r="O52" s="2"/>
      <c r="P52" t="s">
        <v>53</v>
      </c>
      <c r="Q52" s="17" t="s">
        <v>66</v>
      </c>
    </row>
    <row r="53" spans="11:17" x14ac:dyDescent="0.2">
      <c r="L53" t="s">
        <v>54</v>
      </c>
      <c r="M53" s="17" t="s">
        <v>66</v>
      </c>
      <c r="O53" s="2"/>
      <c r="P53" t="s">
        <v>54</v>
      </c>
      <c r="Q53" s="17">
        <v>5.6</v>
      </c>
    </row>
    <row r="54" spans="11:17" x14ac:dyDescent="0.2">
      <c r="L54" t="s">
        <v>55</v>
      </c>
      <c r="M54" s="17">
        <f>13.8+27.8</f>
        <v>41.6</v>
      </c>
      <c r="O54" s="2"/>
      <c r="P54" t="s">
        <v>55</v>
      </c>
      <c r="Q54" s="17">
        <v>46.8</v>
      </c>
    </row>
    <row r="55" spans="11:17" x14ac:dyDescent="0.2">
      <c r="L55" t="s">
        <v>56</v>
      </c>
      <c r="M55" s="17">
        <v>2.7</v>
      </c>
      <c r="O55" s="2"/>
      <c r="P55" t="s">
        <v>56</v>
      </c>
      <c r="Q55" s="17">
        <v>51.4</v>
      </c>
    </row>
    <row r="56" spans="11:17" x14ac:dyDescent="0.2">
      <c r="L56" t="s">
        <v>57</v>
      </c>
      <c r="M56" s="17">
        <f>14.5+23.2</f>
        <v>37.700000000000003</v>
      </c>
      <c r="O56" s="2"/>
      <c r="P56" t="s">
        <v>57</v>
      </c>
      <c r="Q56" s="17">
        <v>44.2</v>
      </c>
    </row>
    <row r="57" spans="11:17" x14ac:dyDescent="0.2">
      <c r="L57" t="s">
        <v>58</v>
      </c>
      <c r="M57" s="17">
        <f>39.5+46.5</f>
        <v>86</v>
      </c>
      <c r="O57" s="2"/>
      <c r="P57" t="s">
        <v>58</v>
      </c>
      <c r="Q57" s="17">
        <v>51.2</v>
      </c>
    </row>
    <row r="58" spans="11:17" x14ac:dyDescent="0.2">
      <c r="K58" s="5" t="s">
        <v>4</v>
      </c>
      <c r="L58" s="12" t="s">
        <v>49</v>
      </c>
      <c r="M58" s="18">
        <v>100</v>
      </c>
      <c r="O58" s="5">
        <v>22</v>
      </c>
      <c r="P58" s="12" t="s">
        <v>49</v>
      </c>
      <c r="Q58" s="18" t="s">
        <v>66</v>
      </c>
    </row>
    <row r="59" spans="11:17" x14ac:dyDescent="0.2">
      <c r="K59" s="5"/>
      <c r="L59" s="12" t="s">
        <v>50</v>
      </c>
      <c r="M59" s="18">
        <f>23+74.3</f>
        <v>97.3</v>
      </c>
      <c r="O59" s="5"/>
      <c r="P59" s="12" t="s">
        <v>50</v>
      </c>
      <c r="Q59" s="18">
        <f>31+1.7</f>
        <v>32.700000000000003</v>
      </c>
    </row>
    <row r="60" spans="11:17" x14ac:dyDescent="0.2">
      <c r="K60" s="5"/>
      <c r="L60" s="12" t="s">
        <v>51</v>
      </c>
      <c r="M60" s="18">
        <f>50.6+24.5</f>
        <v>75.099999999999994</v>
      </c>
      <c r="O60" s="5"/>
      <c r="P60" s="12" t="s">
        <v>51</v>
      </c>
      <c r="Q60" s="18">
        <f>8.2+21.8+0.4</f>
        <v>30.4</v>
      </c>
    </row>
    <row r="61" spans="11:17" x14ac:dyDescent="0.2">
      <c r="K61" s="5"/>
      <c r="L61" s="12" t="s">
        <v>52</v>
      </c>
      <c r="M61" s="18">
        <f>30.2+38.6</f>
        <v>68.8</v>
      </c>
      <c r="O61" s="5"/>
      <c r="P61" s="12" t="s">
        <v>52</v>
      </c>
      <c r="Q61" s="18">
        <f>10.3+12.8+0.2+0.1</f>
        <v>23.400000000000002</v>
      </c>
    </row>
    <row r="62" spans="11:17" x14ac:dyDescent="0.2">
      <c r="K62" s="5"/>
      <c r="L62" s="12" t="s">
        <v>53</v>
      </c>
      <c r="M62" s="18" t="s">
        <v>66</v>
      </c>
      <c r="O62" s="5"/>
      <c r="P62" s="12" t="s">
        <v>53</v>
      </c>
      <c r="Q62" s="18" t="s">
        <v>66</v>
      </c>
    </row>
    <row r="63" spans="11:17" x14ac:dyDescent="0.2">
      <c r="K63" s="5"/>
      <c r="L63" s="12" t="s">
        <v>54</v>
      </c>
      <c r="M63" s="18">
        <v>94.4</v>
      </c>
      <c r="O63" s="5"/>
      <c r="P63" s="12" t="s">
        <v>54</v>
      </c>
      <c r="Q63" s="18" t="s">
        <v>66</v>
      </c>
    </row>
    <row r="64" spans="11:17" x14ac:dyDescent="0.2">
      <c r="K64" s="5"/>
      <c r="L64" s="12" t="s">
        <v>55</v>
      </c>
      <c r="M64" s="18">
        <f>36.9+35.3</f>
        <v>72.199999999999989</v>
      </c>
      <c r="O64" s="5"/>
      <c r="P64" s="12" t="s">
        <v>55</v>
      </c>
      <c r="Q64" s="18">
        <f>8.1+10.4+0.3+0.3</f>
        <v>19.100000000000001</v>
      </c>
    </row>
    <row r="65" spans="11:17" x14ac:dyDescent="0.2">
      <c r="K65" s="5"/>
      <c r="L65" s="12" t="s">
        <v>56</v>
      </c>
      <c r="M65" s="18">
        <f>48.6+45.9</f>
        <v>94.5</v>
      </c>
      <c r="O65" s="5"/>
      <c r="P65" s="12" t="s">
        <v>56</v>
      </c>
      <c r="Q65" s="18" t="s">
        <v>66</v>
      </c>
    </row>
    <row r="66" spans="11:17" x14ac:dyDescent="0.2">
      <c r="K66" s="5"/>
      <c r="L66" s="12" t="s">
        <v>57</v>
      </c>
      <c r="M66" s="18">
        <f>36.2+36</f>
        <v>72.2</v>
      </c>
      <c r="O66" s="5"/>
      <c r="P66" s="12" t="s">
        <v>57</v>
      </c>
      <c r="Q66" s="18">
        <f>10.3+3.7+0.2</f>
        <v>14.2</v>
      </c>
    </row>
    <row r="67" spans="11:17" x14ac:dyDescent="0.2">
      <c r="K67" s="5"/>
      <c r="L67" s="12" t="s">
        <v>58</v>
      </c>
      <c r="M67" s="18">
        <f>81.4+11.6</f>
        <v>93</v>
      </c>
      <c r="O67" s="5"/>
      <c r="P67" s="12" t="s">
        <v>58</v>
      </c>
      <c r="Q67" s="18">
        <v>2.2999999999999998</v>
      </c>
    </row>
    <row r="74" spans="11:17" x14ac:dyDescent="0.2">
      <c r="K74" s="2" t="s">
        <v>7</v>
      </c>
      <c r="L74" t="s">
        <v>49</v>
      </c>
      <c r="M74" s="17" t="s">
        <v>66</v>
      </c>
      <c r="O74" s="5" t="s">
        <v>12</v>
      </c>
      <c r="P74" s="12" t="s">
        <v>49</v>
      </c>
      <c r="Q74" s="18" t="s">
        <v>66</v>
      </c>
    </row>
    <row r="75" spans="11:17" x14ac:dyDescent="0.2">
      <c r="L75" t="s">
        <v>50</v>
      </c>
      <c r="M75" s="17">
        <v>49.3</v>
      </c>
      <c r="O75" s="5"/>
      <c r="P75" s="12" t="s">
        <v>50</v>
      </c>
      <c r="Q75" s="18">
        <f>60.3+3.5</f>
        <v>63.8</v>
      </c>
    </row>
    <row r="76" spans="11:17" x14ac:dyDescent="0.2">
      <c r="L76" t="s">
        <v>51</v>
      </c>
      <c r="M76" s="17">
        <f>0.4+26.7</f>
        <v>27.099999999999998</v>
      </c>
      <c r="O76" s="5"/>
      <c r="P76" s="12" t="s">
        <v>51</v>
      </c>
      <c r="Q76" s="18">
        <f>27.7+3.9</f>
        <v>31.599999999999998</v>
      </c>
    </row>
    <row r="77" spans="11:17" x14ac:dyDescent="0.2">
      <c r="L77" t="s">
        <v>52</v>
      </c>
      <c r="M77" s="17">
        <f>1.8+47</f>
        <v>48.8</v>
      </c>
      <c r="O77" s="5"/>
      <c r="P77" s="12" t="s">
        <v>52</v>
      </c>
      <c r="Q77" s="18">
        <f>22.9+32.4</f>
        <v>55.3</v>
      </c>
    </row>
    <row r="78" spans="11:17" x14ac:dyDescent="0.2">
      <c r="L78" t="s">
        <v>53</v>
      </c>
      <c r="M78" s="17" t="s">
        <v>66</v>
      </c>
      <c r="O78" s="5"/>
      <c r="P78" s="12" t="s">
        <v>53</v>
      </c>
      <c r="Q78" s="18" t="s">
        <v>66</v>
      </c>
    </row>
    <row r="79" spans="11:17" x14ac:dyDescent="0.2">
      <c r="L79" t="s">
        <v>54</v>
      </c>
      <c r="M79" s="17" t="s">
        <v>66</v>
      </c>
      <c r="O79" s="5"/>
      <c r="P79" s="12" t="s">
        <v>54</v>
      </c>
      <c r="Q79" s="18" t="s">
        <v>66</v>
      </c>
    </row>
    <row r="80" spans="11:17" x14ac:dyDescent="0.2">
      <c r="L80" t="s">
        <v>55</v>
      </c>
      <c r="M80" s="17">
        <f>0.1+42.2</f>
        <v>42.300000000000004</v>
      </c>
      <c r="O80" s="5"/>
      <c r="P80" s="12" t="s">
        <v>55</v>
      </c>
      <c r="Q80" s="18">
        <f>10.8+26.3</f>
        <v>37.1</v>
      </c>
    </row>
    <row r="81" spans="11:17" x14ac:dyDescent="0.2">
      <c r="L81" t="s">
        <v>56</v>
      </c>
      <c r="M81" s="17">
        <v>45.9</v>
      </c>
      <c r="O81" s="5"/>
      <c r="P81" s="12" t="s">
        <v>56</v>
      </c>
      <c r="Q81" s="18">
        <v>54.1</v>
      </c>
    </row>
    <row r="82" spans="11:17" x14ac:dyDescent="0.2">
      <c r="L82" t="s">
        <v>57</v>
      </c>
      <c r="M82" s="17">
        <f>3.9+43.8</f>
        <v>47.699999999999996</v>
      </c>
      <c r="O82" s="5"/>
      <c r="P82" s="12" t="s">
        <v>57</v>
      </c>
      <c r="Q82" s="18">
        <f>18.2+21.4</f>
        <v>39.599999999999994</v>
      </c>
    </row>
    <row r="83" spans="11:17" x14ac:dyDescent="0.2">
      <c r="L83" t="s">
        <v>58</v>
      </c>
      <c r="M83" s="17">
        <f>2.3+51.2</f>
        <v>53.5</v>
      </c>
      <c r="O83" s="5"/>
      <c r="P83" s="12" t="s">
        <v>58</v>
      </c>
      <c r="Q83" s="18">
        <f>2.3+2.3</f>
        <v>4.5999999999999996</v>
      </c>
    </row>
    <row r="84" spans="11:17" x14ac:dyDescent="0.2">
      <c r="K84" s="5" t="s">
        <v>8</v>
      </c>
      <c r="L84" s="12" t="s">
        <v>49</v>
      </c>
      <c r="M84" s="18" t="s">
        <v>66</v>
      </c>
      <c r="O84" s="2" t="s">
        <v>13</v>
      </c>
      <c r="P84" t="s">
        <v>49</v>
      </c>
      <c r="Q84" s="17" t="s">
        <v>66</v>
      </c>
    </row>
    <row r="85" spans="11:17" x14ac:dyDescent="0.2">
      <c r="K85" s="5"/>
      <c r="L85" s="12" t="s">
        <v>50</v>
      </c>
      <c r="M85" s="18">
        <v>46.7</v>
      </c>
      <c r="O85" s="2"/>
      <c r="P85" t="s">
        <v>50</v>
      </c>
      <c r="Q85" s="17">
        <v>32.799999999999997</v>
      </c>
    </row>
    <row r="86" spans="11:17" x14ac:dyDescent="0.2">
      <c r="K86" s="5"/>
      <c r="L86" s="12" t="s">
        <v>51</v>
      </c>
      <c r="M86" s="18">
        <v>36.4</v>
      </c>
      <c r="O86" s="2"/>
      <c r="P86" t="s">
        <v>51</v>
      </c>
      <c r="Q86" s="17">
        <f>1.2+8.2</f>
        <v>9.3999999999999986</v>
      </c>
    </row>
    <row r="87" spans="11:17" x14ac:dyDescent="0.2">
      <c r="K87" s="5"/>
      <c r="L87" s="12" t="s">
        <v>52</v>
      </c>
      <c r="M87" s="18">
        <v>32.700000000000003</v>
      </c>
      <c r="O87" s="2"/>
      <c r="P87" t="s">
        <v>52</v>
      </c>
      <c r="Q87" s="17">
        <f>16.9+16.6</f>
        <v>33.5</v>
      </c>
    </row>
    <row r="88" spans="11:17" x14ac:dyDescent="0.2">
      <c r="K88" s="5"/>
      <c r="L88" s="12" t="s">
        <v>53</v>
      </c>
      <c r="M88" s="18" t="s">
        <v>66</v>
      </c>
      <c r="O88" s="2"/>
      <c r="P88" t="s">
        <v>53</v>
      </c>
      <c r="Q88" s="17" t="s">
        <v>66</v>
      </c>
    </row>
    <row r="89" spans="11:17" x14ac:dyDescent="0.2">
      <c r="K89" s="5"/>
      <c r="L89" s="12" t="s">
        <v>54</v>
      </c>
      <c r="M89" s="18">
        <v>94.4</v>
      </c>
      <c r="O89" s="2"/>
      <c r="P89" t="s">
        <v>54</v>
      </c>
      <c r="Q89" s="17" t="s">
        <v>66</v>
      </c>
    </row>
    <row r="90" spans="11:17" x14ac:dyDescent="0.2">
      <c r="K90" s="5"/>
      <c r="L90" s="12" t="s">
        <v>55</v>
      </c>
      <c r="M90" s="18">
        <v>26.1</v>
      </c>
      <c r="O90" s="2"/>
      <c r="P90" t="s">
        <v>55</v>
      </c>
      <c r="Q90" s="17">
        <f>10.9+18.3</f>
        <v>29.200000000000003</v>
      </c>
    </row>
    <row r="91" spans="11:17" x14ac:dyDescent="0.2">
      <c r="K91" s="5"/>
      <c r="L91" s="12" t="s">
        <v>56</v>
      </c>
      <c r="M91" s="18">
        <v>5.4</v>
      </c>
      <c r="O91" s="2"/>
      <c r="P91" t="s">
        <v>56</v>
      </c>
      <c r="Q91" s="17">
        <f>97.3+2.7</f>
        <v>100</v>
      </c>
    </row>
    <row r="92" spans="11:17" x14ac:dyDescent="0.2">
      <c r="K92" s="5"/>
      <c r="L92" s="12" t="s">
        <v>57</v>
      </c>
      <c r="M92" s="18">
        <v>11.6</v>
      </c>
      <c r="O92" s="2"/>
      <c r="P92" t="s">
        <v>57</v>
      </c>
      <c r="Q92" s="17">
        <f>26+16.8</f>
        <v>42.8</v>
      </c>
    </row>
    <row r="93" spans="11:17" x14ac:dyDescent="0.2">
      <c r="K93" s="5"/>
      <c r="L93" s="12" t="s">
        <v>58</v>
      </c>
      <c r="M93" s="18">
        <v>46.5</v>
      </c>
      <c r="O93" s="2"/>
      <c r="P93" t="s">
        <v>58</v>
      </c>
      <c r="Q93" s="17">
        <v>2.2999999999999998</v>
      </c>
    </row>
    <row r="94" spans="11:17" x14ac:dyDescent="0.2">
      <c r="K94" s="2" t="s">
        <v>9</v>
      </c>
      <c r="L94" t="s">
        <v>49</v>
      </c>
      <c r="M94" s="17">
        <v>100</v>
      </c>
      <c r="O94" s="5" t="s">
        <v>14</v>
      </c>
      <c r="P94" s="12" t="s">
        <v>49</v>
      </c>
      <c r="Q94" s="18" t="s">
        <v>66</v>
      </c>
    </row>
    <row r="95" spans="11:17" x14ac:dyDescent="0.2">
      <c r="L95" t="s">
        <v>50</v>
      </c>
      <c r="M95" s="17">
        <v>97.3</v>
      </c>
      <c r="O95" s="5"/>
      <c r="P95" s="12" t="s">
        <v>50</v>
      </c>
      <c r="Q95" s="18">
        <v>29.3</v>
      </c>
    </row>
    <row r="96" spans="11:17" x14ac:dyDescent="0.2">
      <c r="L96" t="s">
        <v>51</v>
      </c>
      <c r="M96" s="17">
        <f>82.6+9.7</f>
        <v>92.3</v>
      </c>
      <c r="O96" s="5"/>
      <c r="P96" s="12" t="s">
        <v>51</v>
      </c>
      <c r="Q96" s="18">
        <f>7.5+1.2</f>
        <v>8.6999999999999993</v>
      </c>
    </row>
    <row r="97" spans="11:17" x14ac:dyDescent="0.2">
      <c r="L97" t="s">
        <v>52</v>
      </c>
      <c r="M97" s="17">
        <f>88.2+5.8</f>
        <v>94</v>
      </c>
      <c r="O97" s="5"/>
      <c r="P97" s="12" t="s">
        <v>52</v>
      </c>
      <c r="Q97" s="18">
        <f>11.7+12.9</f>
        <v>24.6</v>
      </c>
    </row>
    <row r="98" spans="11:17" x14ac:dyDescent="0.2">
      <c r="L98" t="s">
        <v>53</v>
      </c>
      <c r="M98" s="17" t="s">
        <v>66</v>
      </c>
      <c r="O98" s="5"/>
      <c r="P98" s="12" t="s">
        <v>53</v>
      </c>
      <c r="Q98" s="18" t="s">
        <v>66</v>
      </c>
    </row>
    <row r="99" spans="11:17" x14ac:dyDescent="0.2">
      <c r="L99" t="s">
        <v>54</v>
      </c>
      <c r="M99" s="17">
        <v>94.4</v>
      </c>
      <c r="O99" s="5"/>
      <c r="P99" s="12" t="s">
        <v>54</v>
      </c>
      <c r="Q99" s="18" t="s">
        <v>66</v>
      </c>
    </row>
    <row r="100" spans="11:17" x14ac:dyDescent="0.2">
      <c r="L100" t="s">
        <v>55</v>
      </c>
      <c r="M100" s="17">
        <f>87.7+6.9</f>
        <v>94.600000000000009</v>
      </c>
      <c r="O100" s="5"/>
      <c r="P100" s="12" t="s">
        <v>55</v>
      </c>
      <c r="Q100" s="18">
        <f>4.4+8</f>
        <v>12.4</v>
      </c>
    </row>
    <row r="101" spans="11:17" x14ac:dyDescent="0.2">
      <c r="L101" t="s">
        <v>56</v>
      </c>
      <c r="M101" s="17">
        <v>100</v>
      </c>
      <c r="O101" s="5"/>
      <c r="P101" s="12" t="s">
        <v>56</v>
      </c>
      <c r="Q101" s="18">
        <v>91.9</v>
      </c>
    </row>
    <row r="102" spans="11:17" x14ac:dyDescent="0.2">
      <c r="L102" t="s">
        <v>57</v>
      </c>
      <c r="M102" s="17">
        <f>78.1+20.6</f>
        <v>98.699999999999989</v>
      </c>
      <c r="O102" s="5"/>
      <c r="P102" s="12" t="s">
        <v>57</v>
      </c>
      <c r="Q102" s="18">
        <f>14+12</f>
        <v>26</v>
      </c>
    </row>
    <row r="103" spans="11:17" x14ac:dyDescent="0.2">
      <c r="L103" t="s">
        <v>58</v>
      </c>
      <c r="M103" s="17">
        <f>53.5+41.8</f>
        <v>95.3</v>
      </c>
      <c r="O103" s="5"/>
      <c r="P103" s="12" t="s">
        <v>58</v>
      </c>
      <c r="Q103" s="18" t="s">
        <v>66</v>
      </c>
    </row>
    <row r="104" spans="11:17" x14ac:dyDescent="0.2">
      <c r="K104" s="5" t="s">
        <v>10</v>
      </c>
      <c r="L104" s="12" t="s">
        <v>49</v>
      </c>
      <c r="M104" s="18" t="s">
        <v>66</v>
      </c>
      <c r="O104" s="2" t="s">
        <v>15</v>
      </c>
      <c r="P104" t="s">
        <v>49</v>
      </c>
      <c r="Q104" s="17" t="s">
        <v>66</v>
      </c>
    </row>
    <row r="105" spans="11:17" x14ac:dyDescent="0.2">
      <c r="K105" s="5"/>
      <c r="L105" s="12" t="s">
        <v>50</v>
      </c>
      <c r="M105" s="18">
        <v>22.7</v>
      </c>
      <c r="O105" s="2"/>
      <c r="P105" t="s">
        <v>50</v>
      </c>
      <c r="Q105" s="17">
        <v>3.5</v>
      </c>
    </row>
    <row r="106" spans="11:17" x14ac:dyDescent="0.2">
      <c r="K106" s="5"/>
      <c r="L106" s="12" t="s">
        <v>51</v>
      </c>
      <c r="M106" s="18">
        <v>8.1</v>
      </c>
      <c r="O106" s="2"/>
      <c r="P106" t="s">
        <v>51</v>
      </c>
      <c r="Q106" s="17">
        <f>28.2+16.5</f>
        <v>44.7</v>
      </c>
    </row>
    <row r="107" spans="11:17" x14ac:dyDescent="0.2">
      <c r="K107" s="5"/>
      <c r="L107" s="12" t="s">
        <v>52</v>
      </c>
      <c r="M107" s="18">
        <v>19.399999999999999</v>
      </c>
      <c r="O107" s="2"/>
      <c r="P107" t="s">
        <v>52</v>
      </c>
      <c r="Q107" s="17">
        <f>21+39.8</f>
        <v>60.8</v>
      </c>
    </row>
    <row r="108" spans="11:17" x14ac:dyDescent="0.2">
      <c r="K108" s="5"/>
      <c r="L108" s="12" t="s">
        <v>53</v>
      </c>
      <c r="M108" s="18" t="s">
        <v>66</v>
      </c>
      <c r="O108" s="2"/>
      <c r="P108" t="s">
        <v>53</v>
      </c>
      <c r="Q108" s="17" t="s">
        <v>66</v>
      </c>
    </row>
    <row r="109" spans="11:17" x14ac:dyDescent="0.2">
      <c r="K109" s="5"/>
      <c r="L109" s="12" t="s">
        <v>54</v>
      </c>
      <c r="M109" s="18">
        <v>94.4</v>
      </c>
      <c r="O109" s="2"/>
      <c r="P109" t="s">
        <v>54</v>
      </c>
      <c r="Q109" s="17">
        <v>94.4</v>
      </c>
    </row>
    <row r="110" spans="11:17" x14ac:dyDescent="0.2">
      <c r="K110" s="5"/>
      <c r="L110" s="12" t="s">
        <v>55</v>
      </c>
      <c r="M110" s="18">
        <v>15.9</v>
      </c>
      <c r="O110" s="2"/>
      <c r="P110" t="s">
        <v>55</v>
      </c>
      <c r="Q110" s="17">
        <f>12.4+27.5</f>
        <v>39.9</v>
      </c>
    </row>
    <row r="111" spans="11:17" x14ac:dyDescent="0.2">
      <c r="K111" s="5"/>
      <c r="L111" s="12" t="s">
        <v>56</v>
      </c>
      <c r="M111" s="18" t="s">
        <v>66</v>
      </c>
      <c r="O111" s="2"/>
      <c r="P111" t="s">
        <v>56</v>
      </c>
      <c r="Q111" s="17">
        <f>45.9+54.1</f>
        <v>100</v>
      </c>
    </row>
    <row r="112" spans="11:17" x14ac:dyDescent="0.2">
      <c r="K112" s="5"/>
      <c r="L112" s="12" t="s">
        <v>57</v>
      </c>
      <c r="M112" s="18">
        <v>1.5</v>
      </c>
      <c r="O112" s="2"/>
      <c r="P112" t="s">
        <v>57</v>
      </c>
      <c r="Q112" s="17">
        <f>10.7+27.8</f>
        <v>38.5</v>
      </c>
    </row>
    <row r="113" spans="11:17" x14ac:dyDescent="0.2">
      <c r="K113" s="5"/>
      <c r="L113" s="12" t="s">
        <v>58</v>
      </c>
      <c r="M113" s="18">
        <v>2.2999999999999998</v>
      </c>
      <c r="O113" s="2"/>
      <c r="P113" t="s">
        <v>58</v>
      </c>
      <c r="Q113" s="17">
        <f>7+44.2</f>
        <v>51.2</v>
      </c>
    </row>
    <row r="114" spans="11:17" x14ac:dyDescent="0.2">
      <c r="K114" s="2" t="s">
        <v>11</v>
      </c>
      <c r="L114" t="s">
        <v>49</v>
      </c>
      <c r="M114" s="17" t="s">
        <v>66</v>
      </c>
      <c r="O114" s="5" t="s">
        <v>16</v>
      </c>
      <c r="P114" s="12" t="s">
        <v>49</v>
      </c>
      <c r="Q114" s="18" t="s">
        <v>66</v>
      </c>
    </row>
    <row r="115" spans="11:17" x14ac:dyDescent="0.2">
      <c r="L115" t="s">
        <v>50</v>
      </c>
      <c r="M115" s="17">
        <f>22.7+1.3</f>
        <v>24</v>
      </c>
      <c r="O115" s="5"/>
      <c r="P115" s="12" t="s">
        <v>50</v>
      </c>
      <c r="Q115" s="18">
        <f>29.3+3.5</f>
        <v>32.799999999999997</v>
      </c>
    </row>
    <row r="116" spans="11:17" x14ac:dyDescent="0.2">
      <c r="L116" t="s">
        <v>51</v>
      </c>
      <c r="M116" s="17">
        <f>21.3+27.1+0.4+13.6</f>
        <v>62.400000000000006</v>
      </c>
      <c r="O116" s="5"/>
      <c r="P116" s="12" t="s">
        <v>51</v>
      </c>
      <c r="Q116" s="18">
        <f>14.4+24.9</f>
        <v>39.299999999999997</v>
      </c>
    </row>
    <row r="117" spans="11:17" x14ac:dyDescent="0.2">
      <c r="L117" t="s">
        <v>52</v>
      </c>
      <c r="M117" s="17">
        <f>9.8+4+0.4+3.6</f>
        <v>17.8</v>
      </c>
      <c r="O117" s="5"/>
      <c r="P117" s="12" t="s">
        <v>52</v>
      </c>
      <c r="Q117" s="18">
        <f>22.4+39.7</f>
        <v>62.1</v>
      </c>
    </row>
    <row r="118" spans="11:17" x14ac:dyDescent="0.2">
      <c r="L118" t="s">
        <v>53</v>
      </c>
      <c r="M118" s="17" t="s">
        <v>66</v>
      </c>
      <c r="O118" s="5"/>
      <c r="P118" s="12" t="s">
        <v>53</v>
      </c>
      <c r="Q118" s="18" t="s">
        <v>66</v>
      </c>
    </row>
    <row r="119" spans="11:17" x14ac:dyDescent="0.2">
      <c r="L119" t="s">
        <v>54</v>
      </c>
      <c r="M119" s="17">
        <v>5.6</v>
      </c>
      <c r="O119" s="5"/>
      <c r="P119" s="12" t="s">
        <v>54</v>
      </c>
      <c r="Q119" s="18">
        <v>94.4</v>
      </c>
    </row>
    <row r="120" spans="11:17" x14ac:dyDescent="0.2">
      <c r="L120" t="s">
        <v>55</v>
      </c>
      <c r="M120" s="17">
        <f>12.7+3+0.4+2.7</f>
        <v>18.799999999999997</v>
      </c>
      <c r="O120" s="5"/>
      <c r="P120" s="12" t="s">
        <v>55</v>
      </c>
      <c r="Q120" s="18">
        <f>17.3+29.2</f>
        <v>46.5</v>
      </c>
    </row>
    <row r="121" spans="11:17" x14ac:dyDescent="0.2">
      <c r="L121" t="s">
        <v>56</v>
      </c>
      <c r="M121" s="17">
        <f>2.7+2.7</f>
        <v>5.4</v>
      </c>
      <c r="O121" s="5"/>
      <c r="P121" s="12" t="s">
        <v>56</v>
      </c>
      <c r="Q121" s="18">
        <v>45.9</v>
      </c>
    </row>
    <row r="122" spans="11:17" x14ac:dyDescent="0.2">
      <c r="L122" t="s">
        <v>57</v>
      </c>
      <c r="M122" s="17">
        <f>24.1+11.6+3.9</f>
        <v>39.6</v>
      </c>
      <c r="O122" s="5"/>
      <c r="P122" s="12" t="s">
        <v>57</v>
      </c>
      <c r="Q122" s="18">
        <f>14+40.5</f>
        <v>54.5</v>
      </c>
    </row>
    <row r="123" spans="11:17" x14ac:dyDescent="0.2">
      <c r="L123" t="s">
        <v>58</v>
      </c>
      <c r="M123" s="17">
        <f>39.5+2.3</f>
        <v>41.8</v>
      </c>
      <c r="O123" s="5"/>
      <c r="P123" s="12" t="s">
        <v>58</v>
      </c>
      <c r="Q123" s="18">
        <f>2.3+48.8</f>
        <v>51.099999999999994</v>
      </c>
    </row>
    <row r="124" spans="11:17" x14ac:dyDescent="0.2">
      <c r="O124" s="14"/>
      <c r="P124" s="15"/>
      <c r="Q124" s="22"/>
    </row>
    <row r="125" spans="11:17" x14ac:dyDescent="0.2">
      <c r="O125" s="15"/>
      <c r="P125" s="15"/>
      <c r="Q125" s="15"/>
    </row>
    <row r="128" spans="11:17" x14ac:dyDescent="0.2">
      <c r="K128" s="2" t="s">
        <v>17</v>
      </c>
      <c r="L128" t="s">
        <v>49</v>
      </c>
      <c r="M128" s="17" t="s">
        <v>66</v>
      </c>
      <c r="O128" s="2" t="s">
        <v>21</v>
      </c>
      <c r="P128" t="s">
        <v>49</v>
      </c>
      <c r="Q128" s="17">
        <v>100</v>
      </c>
    </row>
    <row r="129" spans="11:17" x14ac:dyDescent="0.2">
      <c r="L129" t="s">
        <v>50</v>
      </c>
      <c r="M129" s="17">
        <v>63.8</v>
      </c>
      <c r="O129" s="2"/>
      <c r="P129" t="s">
        <v>50</v>
      </c>
      <c r="Q129" s="17">
        <v>58.6</v>
      </c>
    </row>
    <row r="130" spans="11:17" x14ac:dyDescent="0.2">
      <c r="L130" t="s">
        <v>51</v>
      </c>
      <c r="M130" s="17">
        <v>28.8</v>
      </c>
      <c r="O130" s="2"/>
      <c r="P130" t="s">
        <v>51</v>
      </c>
      <c r="Q130" s="17">
        <v>25.3</v>
      </c>
    </row>
    <row r="131" spans="11:17" x14ac:dyDescent="0.2">
      <c r="L131" t="s">
        <v>52</v>
      </c>
      <c r="M131" s="17">
        <v>47.2</v>
      </c>
      <c r="O131" s="2"/>
      <c r="P131" t="s">
        <v>52</v>
      </c>
      <c r="Q131" s="17">
        <v>21.2</v>
      </c>
    </row>
    <row r="132" spans="11:17" x14ac:dyDescent="0.2">
      <c r="L132" t="s">
        <v>53</v>
      </c>
      <c r="M132" s="17" t="s">
        <v>66</v>
      </c>
      <c r="O132" s="2"/>
      <c r="P132" t="s">
        <v>53</v>
      </c>
      <c r="Q132" s="17" t="s">
        <v>66</v>
      </c>
    </row>
    <row r="133" spans="11:17" x14ac:dyDescent="0.2">
      <c r="L133" t="s">
        <v>54</v>
      </c>
      <c r="M133" s="17">
        <v>94.4</v>
      </c>
      <c r="O133" s="2"/>
      <c r="P133" t="s">
        <v>54</v>
      </c>
      <c r="Q133" s="17">
        <v>94.4</v>
      </c>
    </row>
    <row r="134" spans="11:17" x14ac:dyDescent="0.2">
      <c r="L134" t="s">
        <v>55</v>
      </c>
      <c r="M134" s="17">
        <v>41.8</v>
      </c>
      <c r="O134" s="2"/>
      <c r="P134" t="s">
        <v>55</v>
      </c>
      <c r="Q134" s="17">
        <v>13.3</v>
      </c>
    </row>
    <row r="135" spans="11:17" x14ac:dyDescent="0.2">
      <c r="L135" t="s">
        <v>56</v>
      </c>
      <c r="M135" s="17">
        <v>8.1</v>
      </c>
      <c r="O135" s="2"/>
      <c r="P135" t="s">
        <v>56</v>
      </c>
      <c r="Q135" s="17">
        <v>54.1</v>
      </c>
    </row>
    <row r="136" spans="11:17" x14ac:dyDescent="0.2">
      <c r="L136" t="s">
        <v>57</v>
      </c>
      <c r="M136" s="17">
        <v>20.3</v>
      </c>
      <c r="O136" s="2"/>
      <c r="P136" t="s">
        <v>57</v>
      </c>
      <c r="Q136" s="17">
        <v>30.5</v>
      </c>
    </row>
    <row r="137" spans="11:17" x14ac:dyDescent="0.2">
      <c r="L137" t="s">
        <v>58</v>
      </c>
      <c r="M137" s="17">
        <v>53.5</v>
      </c>
      <c r="O137" s="2"/>
      <c r="P137" t="s">
        <v>58</v>
      </c>
      <c r="Q137" s="17">
        <v>2.2999999999999998</v>
      </c>
    </row>
    <row r="138" spans="11:17" x14ac:dyDescent="0.2">
      <c r="K138" s="5" t="s">
        <v>18</v>
      </c>
      <c r="L138" s="12" t="s">
        <v>49</v>
      </c>
      <c r="M138" s="18" t="s">
        <v>66</v>
      </c>
      <c r="O138" s="5" t="s">
        <v>22</v>
      </c>
      <c r="P138" s="12" t="s">
        <v>49</v>
      </c>
      <c r="Q138" s="18" t="s">
        <v>66</v>
      </c>
    </row>
    <row r="139" spans="11:17" x14ac:dyDescent="0.2">
      <c r="K139" s="5"/>
      <c r="L139" s="12" t="s">
        <v>50</v>
      </c>
      <c r="M139" s="18">
        <v>34.5</v>
      </c>
      <c r="O139" s="5"/>
      <c r="P139" s="12" t="s">
        <v>50</v>
      </c>
      <c r="Q139" s="18">
        <v>29.3</v>
      </c>
    </row>
    <row r="140" spans="11:17" x14ac:dyDescent="0.2">
      <c r="K140" s="5"/>
      <c r="L140" s="12" t="s">
        <v>51</v>
      </c>
      <c r="M140" s="18">
        <v>9</v>
      </c>
      <c r="O140" s="5"/>
      <c r="P140" s="12" t="s">
        <v>51</v>
      </c>
      <c r="Q140" s="18">
        <v>16.7</v>
      </c>
    </row>
    <row r="141" spans="11:17" x14ac:dyDescent="0.2">
      <c r="K141" s="5"/>
      <c r="L141" s="12" t="s">
        <v>52</v>
      </c>
      <c r="M141" s="18">
        <v>26.6</v>
      </c>
      <c r="O141" s="5"/>
      <c r="P141" s="12" t="s">
        <v>52</v>
      </c>
      <c r="Q141" s="18">
        <v>6.4</v>
      </c>
    </row>
    <row r="142" spans="11:17" x14ac:dyDescent="0.2">
      <c r="K142" s="5"/>
      <c r="L142" s="12" t="s">
        <v>53</v>
      </c>
      <c r="M142" s="18" t="s">
        <v>66</v>
      </c>
      <c r="O142" s="5"/>
      <c r="P142" s="12" t="s">
        <v>53</v>
      </c>
      <c r="Q142" s="18" t="s">
        <v>66</v>
      </c>
    </row>
    <row r="143" spans="11:17" x14ac:dyDescent="0.2">
      <c r="K143" s="5"/>
      <c r="L143" s="12" t="s">
        <v>54</v>
      </c>
      <c r="M143" s="18">
        <v>5.6</v>
      </c>
      <c r="O143" s="5"/>
      <c r="P143" s="12" t="s">
        <v>54</v>
      </c>
      <c r="Q143" s="18" t="s">
        <v>66</v>
      </c>
    </row>
    <row r="144" spans="11:17" x14ac:dyDescent="0.2">
      <c r="K144" s="5"/>
      <c r="L144" s="12" t="s">
        <v>55</v>
      </c>
      <c r="M144" s="18">
        <v>48.2</v>
      </c>
      <c r="O144" s="5"/>
      <c r="P144" s="12" t="s">
        <v>55</v>
      </c>
      <c r="Q144" s="18">
        <v>1.6</v>
      </c>
    </row>
    <row r="145" spans="11:17" x14ac:dyDescent="0.2">
      <c r="K145" s="5"/>
      <c r="L145" s="12" t="s">
        <v>56</v>
      </c>
      <c r="M145" s="18" t="s">
        <v>66</v>
      </c>
      <c r="O145" s="5"/>
      <c r="P145" s="12" t="s">
        <v>56</v>
      </c>
      <c r="Q145" s="18" t="s">
        <v>66</v>
      </c>
    </row>
    <row r="146" spans="11:17" x14ac:dyDescent="0.2">
      <c r="K146" s="5"/>
      <c r="L146" s="12" t="s">
        <v>57</v>
      </c>
      <c r="M146" s="18">
        <v>41.2</v>
      </c>
      <c r="O146" s="5"/>
      <c r="P146" s="12" t="s">
        <v>57</v>
      </c>
      <c r="Q146" s="18">
        <v>5.7</v>
      </c>
    </row>
    <row r="147" spans="11:17" x14ac:dyDescent="0.2">
      <c r="K147" s="5"/>
      <c r="L147" s="12" t="s">
        <v>58</v>
      </c>
      <c r="M147" s="18">
        <v>4.7</v>
      </c>
      <c r="O147" s="5"/>
      <c r="P147" s="12" t="s">
        <v>58</v>
      </c>
      <c r="Q147" s="18">
        <v>2.2999999999999998</v>
      </c>
    </row>
    <row r="148" spans="11:17" x14ac:dyDescent="0.2">
      <c r="K148" s="2" t="s">
        <v>19</v>
      </c>
      <c r="L148" t="s">
        <v>49</v>
      </c>
      <c r="M148" s="17" t="s">
        <v>66</v>
      </c>
      <c r="O148" s="2" t="s">
        <v>23</v>
      </c>
      <c r="P148" t="s">
        <v>49</v>
      </c>
      <c r="Q148" s="17" t="s">
        <v>66</v>
      </c>
    </row>
    <row r="149" spans="11:17" x14ac:dyDescent="0.2">
      <c r="L149" t="s">
        <v>50</v>
      </c>
      <c r="M149" s="17" t="s">
        <v>66</v>
      </c>
      <c r="O149" s="2"/>
      <c r="P149" t="s">
        <v>50</v>
      </c>
      <c r="Q149" s="17" t="s">
        <v>66</v>
      </c>
    </row>
    <row r="150" spans="11:17" x14ac:dyDescent="0.2">
      <c r="L150" t="s">
        <v>51</v>
      </c>
      <c r="M150" s="17" t="s">
        <v>66</v>
      </c>
      <c r="O150" s="2"/>
      <c r="P150" t="s">
        <v>51</v>
      </c>
      <c r="Q150" s="17">
        <v>1.7</v>
      </c>
    </row>
    <row r="151" spans="11:17" x14ac:dyDescent="0.2">
      <c r="L151" t="s">
        <v>52</v>
      </c>
      <c r="M151" s="17">
        <v>9.1</v>
      </c>
      <c r="O151" s="2"/>
      <c r="P151" t="s">
        <v>52</v>
      </c>
      <c r="Q151" s="17">
        <v>6.5</v>
      </c>
    </row>
    <row r="152" spans="11:17" x14ac:dyDescent="0.2">
      <c r="L152" t="s">
        <v>53</v>
      </c>
      <c r="M152" s="17" t="s">
        <v>66</v>
      </c>
      <c r="O152" s="2"/>
      <c r="P152" t="s">
        <v>53</v>
      </c>
      <c r="Q152" s="17" t="s">
        <v>66</v>
      </c>
    </row>
    <row r="153" spans="11:17" x14ac:dyDescent="0.2">
      <c r="L153" t="s">
        <v>54</v>
      </c>
      <c r="M153" s="17" t="s">
        <v>66</v>
      </c>
      <c r="O153" s="2"/>
      <c r="P153" t="s">
        <v>54</v>
      </c>
      <c r="Q153" s="17" t="s">
        <v>66</v>
      </c>
    </row>
    <row r="154" spans="11:17" x14ac:dyDescent="0.2">
      <c r="L154" t="s">
        <v>55</v>
      </c>
      <c r="M154" s="17">
        <v>5.0999999999999996</v>
      </c>
      <c r="O154" s="2"/>
      <c r="P154" t="s">
        <v>55</v>
      </c>
      <c r="Q154" s="17">
        <v>4.2</v>
      </c>
    </row>
    <row r="155" spans="11:17" x14ac:dyDescent="0.2">
      <c r="L155" t="s">
        <v>56</v>
      </c>
      <c r="M155" s="17" t="s">
        <v>66</v>
      </c>
      <c r="O155" s="2"/>
      <c r="P155" t="s">
        <v>56</v>
      </c>
      <c r="Q155" s="17">
        <v>45.9</v>
      </c>
    </row>
    <row r="156" spans="11:17" x14ac:dyDescent="0.2">
      <c r="L156" t="s">
        <v>57</v>
      </c>
      <c r="M156" s="17">
        <v>1.1000000000000001</v>
      </c>
      <c r="O156" s="2"/>
      <c r="P156" t="s">
        <v>57</v>
      </c>
      <c r="Q156" s="17">
        <v>2.2000000000000002</v>
      </c>
    </row>
    <row r="157" spans="11:17" x14ac:dyDescent="0.2">
      <c r="L157" t="s">
        <v>58</v>
      </c>
      <c r="M157" s="17">
        <v>2.2999999999999998</v>
      </c>
      <c r="O157" s="2"/>
      <c r="P157" t="s">
        <v>58</v>
      </c>
      <c r="Q157" s="17" t="s">
        <v>66</v>
      </c>
    </row>
    <row r="158" spans="11:17" x14ac:dyDescent="0.2">
      <c r="K158" s="5" t="s">
        <v>20</v>
      </c>
      <c r="L158" s="12" t="s">
        <v>49</v>
      </c>
      <c r="M158" s="18" t="s">
        <v>66</v>
      </c>
      <c r="O158" s="5" t="s">
        <v>24</v>
      </c>
      <c r="P158" s="12" t="s">
        <v>49</v>
      </c>
      <c r="Q158" s="18" t="s">
        <v>66</v>
      </c>
    </row>
    <row r="159" spans="11:17" x14ac:dyDescent="0.2">
      <c r="K159" s="5"/>
      <c r="L159" s="12" t="s">
        <v>50</v>
      </c>
      <c r="M159" s="18">
        <v>3.5</v>
      </c>
      <c r="O159" s="5"/>
      <c r="P159" s="12" t="s">
        <v>50</v>
      </c>
      <c r="Q159" s="18" t="s">
        <v>66</v>
      </c>
    </row>
    <row r="160" spans="11:17" x14ac:dyDescent="0.2">
      <c r="K160" s="5"/>
      <c r="L160" s="12" t="s">
        <v>51</v>
      </c>
      <c r="M160" s="18">
        <v>19.5</v>
      </c>
      <c r="O160" s="5"/>
      <c r="P160" s="12" t="s">
        <v>51</v>
      </c>
      <c r="Q160" s="18">
        <v>0.8</v>
      </c>
    </row>
    <row r="161" spans="10:17" x14ac:dyDescent="0.2">
      <c r="K161" s="5"/>
      <c r="L161" s="12" t="s">
        <v>52</v>
      </c>
      <c r="M161" s="18">
        <v>10.8</v>
      </c>
      <c r="O161" s="5"/>
      <c r="P161" s="12" t="s">
        <v>52</v>
      </c>
      <c r="Q161" s="18">
        <v>7.8</v>
      </c>
    </row>
    <row r="162" spans="10:17" x14ac:dyDescent="0.2">
      <c r="K162" s="5"/>
      <c r="L162" s="12" t="s">
        <v>53</v>
      </c>
      <c r="M162" s="18" t="s">
        <v>66</v>
      </c>
      <c r="O162" s="5"/>
      <c r="P162" s="12" t="s">
        <v>53</v>
      </c>
      <c r="Q162" s="18" t="s">
        <v>66</v>
      </c>
    </row>
    <row r="163" spans="10:17" x14ac:dyDescent="0.2">
      <c r="K163" s="5"/>
      <c r="L163" s="12" t="s">
        <v>54</v>
      </c>
      <c r="M163" s="18" t="s">
        <v>66</v>
      </c>
      <c r="O163" s="5"/>
      <c r="P163" s="12" t="s">
        <v>54</v>
      </c>
      <c r="Q163" s="18">
        <v>94.4</v>
      </c>
    </row>
    <row r="164" spans="10:17" x14ac:dyDescent="0.2">
      <c r="K164" s="5"/>
      <c r="L164" s="12" t="s">
        <v>55</v>
      </c>
      <c r="M164" s="18">
        <v>19.399999999999999</v>
      </c>
      <c r="O164" s="5"/>
      <c r="P164" s="12" t="s">
        <v>55</v>
      </c>
      <c r="Q164" s="18">
        <v>2.9</v>
      </c>
    </row>
    <row r="165" spans="10:17" x14ac:dyDescent="0.2">
      <c r="K165" s="5"/>
      <c r="L165" s="12" t="s">
        <v>56</v>
      </c>
      <c r="M165" s="18">
        <v>2.7</v>
      </c>
      <c r="O165" s="5"/>
      <c r="P165" s="12" t="s">
        <v>56</v>
      </c>
      <c r="Q165" s="18">
        <v>45.9</v>
      </c>
    </row>
    <row r="166" spans="10:17" x14ac:dyDescent="0.2">
      <c r="K166" s="5"/>
      <c r="L166" s="12" t="s">
        <v>57</v>
      </c>
      <c r="M166" s="18">
        <v>28</v>
      </c>
      <c r="O166" s="5"/>
      <c r="P166" s="12" t="s">
        <v>57</v>
      </c>
      <c r="Q166" s="18">
        <v>0.7</v>
      </c>
    </row>
    <row r="167" spans="10:17" x14ac:dyDescent="0.2">
      <c r="K167" s="5"/>
      <c r="L167" s="12" t="s">
        <v>58</v>
      </c>
      <c r="M167" s="18">
        <v>7</v>
      </c>
      <c r="O167" s="5"/>
      <c r="P167" s="12" t="s">
        <v>58</v>
      </c>
      <c r="Q167" s="18" t="s">
        <v>66</v>
      </c>
    </row>
    <row r="172" spans="10:17" x14ac:dyDescent="0.2">
      <c r="J172" s="10" t="s">
        <v>59</v>
      </c>
      <c r="K172" s="2" t="s">
        <v>26</v>
      </c>
      <c r="L172" t="s">
        <v>49</v>
      </c>
      <c r="M172" s="17" t="s">
        <v>66</v>
      </c>
      <c r="O172" s="5" t="s">
        <v>33</v>
      </c>
      <c r="P172" s="12" t="s">
        <v>49</v>
      </c>
      <c r="Q172" s="18" t="s">
        <v>66</v>
      </c>
    </row>
    <row r="173" spans="10:17" x14ac:dyDescent="0.2">
      <c r="L173" t="s">
        <v>50</v>
      </c>
      <c r="M173" s="17" t="s">
        <v>66</v>
      </c>
      <c r="O173" s="5"/>
      <c r="P173" s="12" t="s">
        <v>50</v>
      </c>
      <c r="Q173" s="18">
        <v>28</v>
      </c>
    </row>
    <row r="174" spans="10:17" x14ac:dyDescent="0.2">
      <c r="L174" t="s">
        <v>51</v>
      </c>
      <c r="M174" s="17">
        <v>14.3</v>
      </c>
      <c r="O174" s="5"/>
      <c r="P174" s="12" t="s">
        <v>51</v>
      </c>
      <c r="Q174" s="18">
        <v>37.4</v>
      </c>
    </row>
    <row r="175" spans="10:17" x14ac:dyDescent="0.2">
      <c r="L175" t="s">
        <v>52</v>
      </c>
      <c r="M175" s="17">
        <v>11</v>
      </c>
      <c r="O175" s="5"/>
      <c r="P175" s="12" t="s">
        <v>52</v>
      </c>
      <c r="Q175" s="18">
        <v>31.1</v>
      </c>
    </row>
    <row r="176" spans="10:17" x14ac:dyDescent="0.2">
      <c r="L176" t="s">
        <v>53</v>
      </c>
      <c r="M176" s="17" t="s">
        <v>66</v>
      </c>
      <c r="O176" s="5"/>
      <c r="P176" s="12" t="s">
        <v>53</v>
      </c>
      <c r="Q176" s="18" t="s">
        <v>66</v>
      </c>
    </row>
    <row r="177" spans="11:17" x14ac:dyDescent="0.2">
      <c r="L177" t="s">
        <v>54</v>
      </c>
      <c r="M177" s="17" t="s">
        <v>66</v>
      </c>
      <c r="O177" s="5"/>
      <c r="P177" s="12" t="s">
        <v>54</v>
      </c>
      <c r="Q177" s="18">
        <v>94.4</v>
      </c>
    </row>
    <row r="178" spans="11:17" x14ac:dyDescent="0.2">
      <c r="L178" t="s">
        <v>55</v>
      </c>
      <c r="M178" s="17">
        <v>11.5</v>
      </c>
      <c r="O178" s="5"/>
      <c r="P178" s="12" t="s">
        <v>55</v>
      </c>
      <c r="Q178" s="18">
        <v>47.8</v>
      </c>
    </row>
    <row r="179" spans="11:17" x14ac:dyDescent="0.2">
      <c r="L179" t="s">
        <v>56</v>
      </c>
      <c r="M179" s="17">
        <v>45.9</v>
      </c>
      <c r="O179" s="5"/>
      <c r="P179" s="12" t="s">
        <v>56</v>
      </c>
      <c r="Q179" s="18">
        <v>2.7</v>
      </c>
    </row>
    <row r="180" spans="11:17" x14ac:dyDescent="0.2">
      <c r="L180" t="s">
        <v>57</v>
      </c>
      <c r="M180" s="17">
        <v>13.2</v>
      </c>
      <c r="O180" s="5"/>
      <c r="P180" s="12" t="s">
        <v>57</v>
      </c>
      <c r="Q180" s="18">
        <v>36.4</v>
      </c>
    </row>
    <row r="181" spans="11:17" x14ac:dyDescent="0.2">
      <c r="L181" t="s">
        <v>58</v>
      </c>
      <c r="M181" s="17" t="s">
        <v>66</v>
      </c>
      <c r="O181" s="5"/>
      <c r="P181" s="12" t="s">
        <v>58</v>
      </c>
      <c r="Q181" s="18">
        <v>9.3000000000000007</v>
      </c>
    </row>
    <row r="182" spans="11:17" x14ac:dyDescent="0.2">
      <c r="K182" s="5" t="s">
        <v>27</v>
      </c>
      <c r="L182" s="12" t="s">
        <v>49</v>
      </c>
      <c r="M182" s="18" t="s">
        <v>66</v>
      </c>
      <c r="O182" s="2" t="s">
        <v>34</v>
      </c>
      <c r="P182" t="s">
        <v>49</v>
      </c>
      <c r="Q182" s="17">
        <v>100</v>
      </c>
    </row>
    <row r="183" spans="11:17" x14ac:dyDescent="0.2">
      <c r="K183" s="5"/>
      <c r="L183" s="12" t="s">
        <v>50</v>
      </c>
      <c r="M183" s="18">
        <v>26.7</v>
      </c>
      <c r="O183" s="2"/>
      <c r="P183" t="s">
        <v>50</v>
      </c>
      <c r="Q183" s="17">
        <v>72</v>
      </c>
    </row>
    <row r="184" spans="11:17" x14ac:dyDescent="0.2">
      <c r="K184" s="5"/>
      <c r="L184" s="12" t="s">
        <v>51</v>
      </c>
      <c r="M184" s="18">
        <v>62.3</v>
      </c>
      <c r="O184" s="2"/>
      <c r="P184" t="s">
        <v>51</v>
      </c>
      <c r="Q184" s="17">
        <v>82.1</v>
      </c>
    </row>
    <row r="185" spans="11:17" x14ac:dyDescent="0.2">
      <c r="K185" s="5"/>
      <c r="L185" s="12" t="s">
        <v>52</v>
      </c>
      <c r="M185" s="18">
        <v>49.8</v>
      </c>
      <c r="O185" s="2"/>
      <c r="P185" t="s">
        <v>52</v>
      </c>
      <c r="Q185" s="17">
        <v>75.2</v>
      </c>
    </row>
    <row r="186" spans="11:17" x14ac:dyDescent="0.2">
      <c r="K186" s="5"/>
      <c r="L186" s="12" t="s">
        <v>53</v>
      </c>
      <c r="M186" s="18" t="s">
        <v>66</v>
      </c>
      <c r="O186" s="2"/>
      <c r="P186" t="s">
        <v>53</v>
      </c>
      <c r="Q186" s="17" t="s">
        <v>66</v>
      </c>
    </row>
    <row r="187" spans="11:17" x14ac:dyDescent="0.2">
      <c r="K187" s="5"/>
      <c r="L187" s="12" t="s">
        <v>54</v>
      </c>
      <c r="M187" s="18">
        <v>94.4</v>
      </c>
      <c r="O187" s="2"/>
      <c r="P187" t="s">
        <v>54</v>
      </c>
      <c r="Q187" s="17">
        <v>94.4</v>
      </c>
    </row>
    <row r="188" spans="11:17" x14ac:dyDescent="0.2">
      <c r="K188" s="5"/>
      <c r="L188" s="12" t="s">
        <v>55</v>
      </c>
      <c r="M188" s="18">
        <v>68.900000000000006</v>
      </c>
      <c r="O188" s="2"/>
      <c r="P188" t="s">
        <v>55</v>
      </c>
      <c r="Q188" s="17">
        <v>88.9</v>
      </c>
    </row>
    <row r="189" spans="11:17" x14ac:dyDescent="0.2">
      <c r="K189" s="5"/>
      <c r="L189" s="12" t="s">
        <v>56</v>
      </c>
      <c r="M189" s="18">
        <v>52.8</v>
      </c>
      <c r="O189" s="2"/>
      <c r="P189" t="s">
        <v>56</v>
      </c>
      <c r="Q189" s="17">
        <v>8.1</v>
      </c>
    </row>
    <row r="190" spans="11:17" x14ac:dyDescent="0.2">
      <c r="K190" s="5"/>
      <c r="L190" s="12" t="s">
        <v>57</v>
      </c>
      <c r="M190" s="18">
        <v>81.400000000000006</v>
      </c>
      <c r="O190" s="2"/>
      <c r="P190" t="s">
        <v>57</v>
      </c>
      <c r="Q190" s="17">
        <v>76.5</v>
      </c>
    </row>
    <row r="191" spans="11:17" x14ac:dyDescent="0.2">
      <c r="K191" s="5"/>
      <c r="L191" s="12" t="s">
        <v>58</v>
      </c>
      <c r="M191" s="18">
        <v>92.8</v>
      </c>
      <c r="O191" s="2"/>
      <c r="P191" t="s">
        <v>58</v>
      </c>
      <c r="Q191" s="17">
        <v>52.4</v>
      </c>
    </row>
    <row r="192" spans="11:17" x14ac:dyDescent="0.2">
      <c r="K192" s="2" t="s">
        <v>28</v>
      </c>
      <c r="L192" t="s">
        <v>49</v>
      </c>
      <c r="M192" s="17">
        <v>100</v>
      </c>
      <c r="O192" s="5" t="s">
        <v>35</v>
      </c>
      <c r="P192" s="12" t="s">
        <v>49</v>
      </c>
      <c r="Q192" s="18" t="s">
        <v>66</v>
      </c>
    </row>
    <row r="193" spans="11:17" x14ac:dyDescent="0.2">
      <c r="L193" t="s">
        <v>50</v>
      </c>
      <c r="M193" s="17">
        <v>100</v>
      </c>
      <c r="O193" s="5"/>
      <c r="P193" s="12" t="s">
        <v>50</v>
      </c>
      <c r="Q193" s="18">
        <v>26.7</v>
      </c>
    </row>
    <row r="194" spans="11:17" x14ac:dyDescent="0.2">
      <c r="L194" t="s">
        <v>51</v>
      </c>
      <c r="M194" s="17">
        <v>90.7</v>
      </c>
      <c r="O194" s="5"/>
      <c r="P194" s="12" t="s">
        <v>51</v>
      </c>
      <c r="Q194" s="18">
        <v>59.5</v>
      </c>
    </row>
    <row r="195" spans="11:17" x14ac:dyDescent="0.2">
      <c r="L195" t="s">
        <v>52</v>
      </c>
      <c r="M195" s="17">
        <v>92</v>
      </c>
      <c r="O195" s="5"/>
      <c r="P195" s="12" t="s">
        <v>52</v>
      </c>
      <c r="Q195" s="18">
        <v>54.7</v>
      </c>
    </row>
    <row r="196" spans="11:17" x14ac:dyDescent="0.2">
      <c r="L196" t="s">
        <v>53</v>
      </c>
      <c r="M196" s="17" t="s">
        <v>66</v>
      </c>
      <c r="O196" s="5"/>
      <c r="P196" s="12" t="s">
        <v>53</v>
      </c>
      <c r="Q196" s="18" t="s">
        <v>66</v>
      </c>
    </row>
    <row r="197" spans="11:17" x14ac:dyDescent="0.2">
      <c r="L197" t="s">
        <v>54</v>
      </c>
      <c r="M197" s="17">
        <v>100</v>
      </c>
      <c r="O197" s="5"/>
      <c r="P197" s="12" t="s">
        <v>54</v>
      </c>
      <c r="Q197" s="18">
        <v>94.4</v>
      </c>
    </row>
    <row r="198" spans="11:17" x14ac:dyDescent="0.2">
      <c r="L198" t="s">
        <v>55</v>
      </c>
      <c r="M198" s="17">
        <v>91.9</v>
      </c>
      <c r="O198" s="5"/>
      <c r="P198" s="12" t="s">
        <v>55</v>
      </c>
      <c r="Q198" s="18">
        <v>49.3</v>
      </c>
    </row>
    <row r="199" spans="11:17" x14ac:dyDescent="0.2">
      <c r="L199" t="s">
        <v>56</v>
      </c>
      <c r="M199" s="17">
        <v>100</v>
      </c>
      <c r="O199" s="5"/>
      <c r="P199" s="12" t="s">
        <v>56</v>
      </c>
      <c r="Q199" s="18">
        <v>100</v>
      </c>
    </row>
    <row r="200" spans="11:17" x14ac:dyDescent="0.2">
      <c r="L200" t="s">
        <v>57</v>
      </c>
      <c r="M200" s="17">
        <v>94.3</v>
      </c>
      <c r="O200" s="5"/>
      <c r="P200" s="12" t="s">
        <v>57</v>
      </c>
      <c r="Q200" s="18">
        <v>53.2</v>
      </c>
    </row>
    <row r="201" spans="11:17" x14ac:dyDescent="0.2">
      <c r="L201" t="s">
        <v>58</v>
      </c>
      <c r="M201" s="17">
        <v>97.6</v>
      </c>
      <c r="O201" s="5"/>
      <c r="P201" s="12" t="s">
        <v>58</v>
      </c>
      <c r="Q201" s="18">
        <v>53.5</v>
      </c>
    </row>
    <row r="202" spans="11:17" x14ac:dyDescent="0.2">
      <c r="K202" s="5" t="s">
        <v>29</v>
      </c>
      <c r="L202" s="12" t="s">
        <v>49</v>
      </c>
      <c r="M202" s="18" t="s">
        <v>66</v>
      </c>
      <c r="O202" s="2" t="s">
        <v>36</v>
      </c>
      <c r="P202" t="s">
        <v>49</v>
      </c>
      <c r="Q202" s="17" t="s">
        <v>66</v>
      </c>
    </row>
    <row r="203" spans="11:17" x14ac:dyDescent="0.2">
      <c r="K203" s="5"/>
      <c r="L203" s="12" t="s">
        <v>50</v>
      </c>
      <c r="M203" s="18">
        <v>53.3</v>
      </c>
      <c r="O203" s="2"/>
      <c r="P203" t="s">
        <v>50</v>
      </c>
      <c r="Q203" s="17">
        <v>24</v>
      </c>
    </row>
    <row r="204" spans="11:17" x14ac:dyDescent="0.2">
      <c r="K204" s="5"/>
      <c r="L204" s="12" t="s">
        <v>51</v>
      </c>
      <c r="M204" s="18">
        <v>59.5</v>
      </c>
      <c r="O204" s="2"/>
      <c r="P204" t="s">
        <v>51</v>
      </c>
      <c r="Q204" s="17">
        <v>16.399999999999999</v>
      </c>
    </row>
    <row r="205" spans="11:17" x14ac:dyDescent="0.2">
      <c r="K205" s="5"/>
      <c r="L205" s="12" t="s">
        <v>52</v>
      </c>
      <c r="M205" s="18">
        <v>62.6</v>
      </c>
      <c r="O205" s="2"/>
      <c r="P205" t="s">
        <v>52</v>
      </c>
      <c r="Q205" s="17">
        <v>22.7</v>
      </c>
    </row>
    <row r="206" spans="11:17" x14ac:dyDescent="0.2">
      <c r="K206" s="5"/>
      <c r="L206" s="12" t="s">
        <v>53</v>
      </c>
      <c r="M206" s="18" t="s">
        <v>66</v>
      </c>
      <c r="O206" s="2"/>
      <c r="P206" t="s">
        <v>53</v>
      </c>
      <c r="Q206" s="17" t="s">
        <v>66</v>
      </c>
    </row>
    <row r="207" spans="11:17" x14ac:dyDescent="0.2">
      <c r="K207" s="5"/>
      <c r="L207" s="12" t="s">
        <v>54</v>
      </c>
      <c r="M207" s="18" t="s">
        <v>66</v>
      </c>
      <c r="O207" s="2"/>
      <c r="P207" t="s">
        <v>54</v>
      </c>
      <c r="Q207" s="17" t="s">
        <v>66</v>
      </c>
    </row>
    <row r="208" spans="11:17" x14ac:dyDescent="0.2">
      <c r="K208" s="5"/>
      <c r="L208" s="12" t="s">
        <v>55</v>
      </c>
      <c r="M208" s="18">
        <v>74.099999999999994</v>
      </c>
      <c r="O208" s="2"/>
      <c r="P208" t="s">
        <v>55</v>
      </c>
      <c r="Q208" s="17">
        <v>24.4</v>
      </c>
    </row>
    <row r="209" spans="11:17" x14ac:dyDescent="0.2">
      <c r="K209" s="5"/>
      <c r="L209" s="12" t="s">
        <v>56</v>
      </c>
      <c r="M209" s="18">
        <v>50</v>
      </c>
      <c r="O209" s="2"/>
      <c r="P209" t="s">
        <v>56</v>
      </c>
      <c r="Q209" s="17">
        <v>47.2</v>
      </c>
    </row>
    <row r="210" spans="11:17" x14ac:dyDescent="0.2">
      <c r="K210" s="5"/>
      <c r="L210" s="12" t="s">
        <v>57</v>
      </c>
      <c r="M210" s="18">
        <v>55.4</v>
      </c>
      <c r="O210" s="2"/>
      <c r="P210" t="s">
        <v>57</v>
      </c>
      <c r="Q210" s="17">
        <v>17.8</v>
      </c>
    </row>
    <row r="211" spans="11:17" x14ac:dyDescent="0.2">
      <c r="K211" s="5"/>
      <c r="L211" s="12" t="s">
        <v>58</v>
      </c>
      <c r="M211" s="18">
        <v>93</v>
      </c>
      <c r="O211" s="2"/>
      <c r="P211" t="s">
        <v>58</v>
      </c>
      <c r="Q211" s="17">
        <v>46.5</v>
      </c>
    </row>
    <row r="212" spans="11:17" x14ac:dyDescent="0.2">
      <c r="K212" s="2" t="s">
        <v>30</v>
      </c>
      <c r="L212" t="s">
        <v>49</v>
      </c>
      <c r="M212" s="17" t="s">
        <v>66</v>
      </c>
      <c r="O212" s="5" t="s">
        <v>37</v>
      </c>
      <c r="P212" s="12" t="s">
        <v>49</v>
      </c>
      <c r="Q212" s="18" t="s">
        <v>66</v>
      </c>
    </row>
    <row r="213" spans="11:17" x14ac:dyDescent="0.2">
      <c r="L213" t="s">
        <v>50</v>
      </c>
      <c r="M213" s="17">
        <v>74.7</v>
      </c>
      <c r="O213" s="5"/>
      <c r="P213" s="12" t="s">
        <v>50</v>
      </c>
      <c r="Q213" s="18" t="s">
        <v>66</v>
      </c>
    </row>
    <row r="214" spans="11:17" x14ac:dyDescent="0.2">
      <c r="L214" t="s">
        <v>51</v>
      </c>
      <c r="M214" s="17">
        <v>31.9</v>
      </c>
      <c r="O214" s="5"/>
      <c r="P214" s="12" t="s">
        <v>51</v>
      </c>
      <c r="Q214" s="18">
        <f>0.4+0.4</f>
        <v>0.8</v>
      </c>
    </row>
    <row r="215" spans="11:17" x14ac:dyDescent="0.2">
      <c r="L215" t="s">
        <v>52</v>
      </c>
      <c r="M215" s="17">
        <v>55.3</v>
      </c>
      <c r="O215" s="5"/>
      <c r="P215" s="12" t="s">
        <v>52</v>
      </c>
      <c r="Q215" s="18">
        <f>7.2+5.9+7</f>
        <v>20.100000000000001</v>
      </c>
    </row>
    <row r="216" spans="11:17" x14ac:dyDescent="0.2">
      <c r="L216" t="s">
        <v>53</v>
      </c>
      <c r="M216" s="17" t="s">
        <v>66</v>
      </c>
      <c r="O216" s="5"/>
      <c r="P216" s="12" t="s">
        <v>53</v>
      </c>
      <c r="Q216" s="18" t="s">
        <v>66</v>
      </c>
    </row>
    <row r="217" spans="11:17" x14ac:dyDescent="0.2">
      <c r="L217" t="s">
        <v>54</v>
      </c>
      <c r="M217" s="17">
        <v>100</v>
      </c>
      <c r="O217" s="5"/>
      <c r="P217" s="12" t="s">
        <v>54</v>
      </c>
      <c r="Q217" s="18" t="s">
        <v>66</v>
      </c>
    </row>
    <row r="218" spans="11:17" x14ac:dyDescent="0.2">
      <c r="L218" t="s">
        <v>55</v>
      </c>
      <c r="M218" s="17">
        <v>60.4</v>
      </c>
      <c r="O218" s="5"/>
      <c r="P218" s="12" t="s">
        <v>55</v>
      </c>
      <c r="Q218" s="18">
        <f>0.6+7.6+3.3</f>
        <v>11.5</v>
      </c>
    </row>
    <row r="219" spans="11:17" x14ac:dyDescent="0.2">
      <c r="L219" t="s">
        <v>56</v>
      </c>
      <c r="M219" s="17">
        <v>48.6</v>
      </c>
      <c r="O219" s="5"/>
      <c r="P219" s="12" t="s">
        <v>56</v>
      </c>
      <c r="Q219" s="18" t="s">
        <v>66</v>
      </c>
    </row>
    <row r="220" spans="11:17" x14ac:dyDescent="0.2">
      <c r="L220" t="s">
        <v>57</v>
      </c>
      <c r="M220" s="17">
        <v>58.1</v>
      </c>
      <c r="O220" s="5"/>
      <c r="P220" s="12" t="s">
        <v>57</v>
      </c>
      <c r="Q220" s="18">
        <v>8</v>
      </c>
    </row>
    <row r="221" spans="11:17" x14ac:dyDescent="0.2">
      <c r="L221" t="s">
        <v>58</v>
      </c>
      <c r="M221" s="17">
        <v>90.5</v>
      </c>
      <c r="O221" s="5"/>
      <c r="P221" s="12" t="s">
        <v>58</v>
      </c>
      <c r="Q221" s="18">
        <f>2.3+2.3</f>
        <v>4.5999999999999996</v>
      </c>
    </row>
    <row r="222" spans="11:17" x14ac:dyDescent="0.2">
      <c r="K222" s="5" t="s">
        <v>31</v>
      </c>
      <c r="L222" s="12" t="s">
        <v>49</v>
      </c>
      <c r="M222" s="18" t="s">
        <v>66</v>
      </c>
      <c r="O222" s="2" t="s">
        <v>38</v>
      </c>
      <c r="P222" t="s">
        <v>49</v>
      </c>
      <c r="Q222" s="17" t="s">
        <v>66</v>
      </c>
    </row>
    <row r="223" spans="11:17" x14ac:dyDescent="0.2">
      <c r="K223" s="5"/>
      <c r="L223" s="12" t="s">
        <v>50</v>
      </c>
      <c r="M223" s="18" t="s">
        <v>66</v>
      </c>
      <c r="O223" s="2"/>
      <c r="P223" t="s">
        <v>50</v>
      </c>
      <c r="Q223" s="17">
        <v>2.7</v>
      </c>
    </row>
    <row r="224" spans="11:17" x14ac:dyDescent="0.2">
      <c r="K224" s="5"/>
      <c r="L224" s="12" t="s">
        <v>51</v>
      </c>
      <c r="M224" s="18">
        <f>0.8+0.4</f>
        <v>1.2000000000000002</v>
      </c>
      <c r="O224" s="2"/>
      <c r="P224" t="s">
        <v>51</v>
      </c>
      <c r="Q224" s="17">
        <f>1.2+15.6+2</f>
        <v>18.8</v>
      </c>
    </row>
    <row r="225" spans="11:17" x14ac:dyDescent="0.2">
      <c r="K225" s="5"/>
      <c r="L225" s="12" t="s">
        <v>52</v>
      </c>
      <c r="M225" s="18">
        <f>0.1+2.2+1.9</f>
        <v>4.2</v>
      </c>
      <c r="O225" s="2"/>
      <c r="P225" t="s">
        <v>52</v>
      </c>
      <c r="Q225" s="17">
        <f>0.4+14.5+5.5</f>
        <v>20.399999999999999</v>
      </c>
    </row>
    <row r="226" spans="11:17" x14ac:dyDescent="0.2">
      <c r="K226" s="5"/>
      <c r="L226" s="12" t="s">
        <v>53</v>
      </c>
      <c r="M226" s="18" t="s">
        <v>66</v>
      </c>
      <c r="O226" s="2"/>
      <c r="P226" t="s">
        <v>53</v>
      </c>
      <c r="Q226" s="17" t="s">
        <v>66</v>
      </c>
    </row>
    <row r="227" spans="11:17" x14ac:dyDescent="0.2">
      <c r="K227" s="5"/>
      <c r="L227" s="12" t="s">
        <v>54</v>
      </c>
      <c r="M227" s="18" t="s">
        <v>66</v>
      </c>
      <c r="O227" s="2"/>
      <c r="P227" t="s">
        <v>54</v>
      </c>
      <c r="Q227" s="17" t="s">
        <v>66</v>
      </c>
    </row>
    <row r="228" spans="11:17" x14ac:dyDescent="0.2">
      <c r="K228" s="5"/>
      <c r="L228" s="12" t="s">
        <v>55</v>
      </c>
      <c r="M228" s="18">
        <v>0.1</v>
      </c>
      <c r="O228" s="2"/>
      <c r="P228" t="s">
        <v>55</v>
      </c>
      <c r="Q228" s="17">
        <f>2.6+10.4+8.8</f>
        <v>21.8</v>
      </c>
    </row>
    <row r="229" spans="11:17" x14ac:dyDescent="0.2">
      <c r="K229" s="5"/>
      <c r="L229" s="12" t="s">
        <v>56</v>
      </c>
      <c r="M229" s="18" t="s">
        <v>66</v>
      </c>
      <c r="O229" s="2"/>
      <c r="P229" t="s">
        <v>56</v>
      </c>
      <c r="Q229" s="17" t="s">
        <v>66</v>
      </c>
    </row>
    <row r="230" spans="11:17" x14ac:dyDescent="0.2">
      <c r="K230" s="5"/>
      <c r="L230" s="12" t="s">
        <v>57</v>
      </c>
      <c r="M230" s="18">
        <v>0.5</v>
      </c>
      <c r="O230" s="2"/>
      <c r="P230" t="s">
        <v>57</v>
      </c>
      <c r="Q230" s="17">
        <f>4.6+8.9+1.8</f>
        <v>15.3</v>
      </c>
    </row>
    <row r="231" spans="11:17" x14ac:dyDescent="0.2">
      <c r="K231" s="5"/>
      <c r="L231" s="12" t="s">
        <v>58</v>
      </c>
      <c r="M231" s="18">
        <v>2.2999999999999998</v>
      </c>
      <c r="O231" s="2"/>
      <c r="P231" t="s">
        <v>58</v>
      </c>
      <c r="Q231" s="17">
        <f>4.7+4.7</f>
        <v>9.4</v>
      </c>
    </row>
    <row r="232" spans="11:17" x14ac:dyDescent="0.2">
      <c r="K232" s="2" t="s">
        <v>32</v>
      </c>
      <c r="L232" t="s">
        <v>49</v>
      </c>
      <c r="M232" s="17" t="s">
        <v>66</v>
      </c>
    </row>
    <row r="233" spans="11:17" x14ac:dyDescent="0.2">
      <c r="L233" t="s">
        <v>50</v>
      </c>
      <c r="M233" s="17">
        <v>2.7</v>
      </c>
    </row>
    <row r="234" spans="11:17" x14ac:dyDescent="0.2">
      <c r="L234" t="s">
        <v>51</v>
      </c>
      <c r="M234" s="17">
        <v>30.7</v>
      </c>
    </row>
    <row r="235" spans="11:17" x14ac:dyDescent="0.2">
      <c r="L235" t="s">
        <v>52</v>
      </c>
      <c r="M235" s="17">
        <v>48.5</v>
      </c>
    </row>
    <row r="236" spans="11:17" x14ac:dyDescent="0.2">
      <c r="L236" t="s">
        <v>53</v>
      </c>
      <c r="M236" s="17" t="s">
        <v>66</v>
      </c>
    </row>
    <row r="237" spans="11:17" x14ac:dyDescent="0.2">
      <c r="L237" t="s">
        <v>54</v>
      </c>
      <c r="M237" s="17" t="s">
        <v>66</v>
      </c>
    </row>
    <row r="238" spans="11:17" x14ac:dyDescent="0.2">
      <c r="L238" t="s">
        <v>55</v>
      </c>
      <c r="M238" s="17">
        <v>65.7</v>
      </c>
    </row>
    <row r="239" spans="11:17" x14ac:dyDescent="0.2">
      <c r="L239" t="s">
        <v>56</v>
      </c>
      <c r="M239" s="17">
        <v>45.9</v>
      </c>
    </row>
    <row r="240" spans="11:17" x14ac:dyDescent="0.2">
      <c r="L240" t="s">
        <v>57</v>
      </c>
      <c r="M240" s="17">
        <v>59</v>
      </c>
    </row>
    <row r="241" spans="10:17" x14ac:dyDescent="0.2">
      <c r="L241" t="s">
        <v>58</v>
      </c>
      <c r="M241" s="17">
        <v>93</v>
      </c>
    </row>
    <row r="246" spans="10:17" x14ac:dyDescent="0.2">
      <c r="J246" s="10" t="s">
        <v>39</v>
      </c>
      <c r="K246" s="5" t="s">
        <v>26</v>
      </c>
      <c r="L246" s="12" t="s">
        <v>49</v>
      </c>
      <c r="M246" s="18" t="s">
        <v>66</v>
      </c>
      <c r="O246" s="2" t="s">
        <v>33</v>
      </c>
      <c r="P246" t="s">
        <v>49</v>
      </c>
      <c r="Q246" s="17" t="s">
        <v>66</v>
      </c>
    </row>
    <row r="247" spans="10:17" x14ac:dyDescent="0.2">
      <c r="K247" s="5"/>
      <c r="L247" s="12" t="s">
        <v>50</v>
      </c>
      <c r="M247" s="18" t="s">
        <v>66</v>
      </c>
      <c r="O247" s="2"/>
      <c r="P247" t="s">
        <v>50</v>
      </c>
      <c r="Q247" s="17">
        <v>22.7</v>
      </c>
    </row>
    <row r="248" spans="10:17" x14ac:dyDescent="0.2">
      <c r="K248" s="5"/>
      <c r="L248" s="12" t="s">
        <v>51</v>
      </c>
      <c r="M248" s="18">
        <v>7.5</v>
      </c>
      <c r="O248" s="2"/>
      <c r="P248" t="s">
        <v>51</v>
      </c>
      <c r="Q248" s="17">
        <v>1.3</v>
      </c>
    </row>
    <row r="249" spans="10:17" x14ac:dyDescent="0.2">
      <c r="K249" s="5"/>
      <c r="L249" s="12" t="s">
        <v>52</v>
      </c>
      <c r="M249" s="18">
        <v>4.2</v>
      </c>
      <c r="O249" s="2"/>
      <c r="P249" t="s">
        <v>52</v>
      </c>
      <c r="Q249" s="17">
        <v>2.4</v>
      </c>
    </row>
    <row r="250" spans="10:17" x14ac:dyDescent="0.2">
      <c r="K250" s="5"/>
      <c r="L250" s="12" t="s">
        <v>53</v>
      </c>
      <c r="M250" s="18" t="s">
        <v>66</v>
      </c>
      <c r="O250" s="2"/>
      <c r="P250" t="s">
        <v>53</v>
      </c>
      <c r="Q250" s="17" t="s">
        <v>66</v>
      </c>
    </row>
    <row r="251" spans="10:17" x14ac:dyDescent="0.2">
      <c r="K251" s="5"/>
      <c r="L251" s="12" t="s">
        <v>54</v>
      </c>
      <c r="M251" s="18" t="s">
        <v>66</v>
      </c>
      <c r="O251" s="2"/>
      <c r="P251" t="s">
        <v>54</v>
      </c>
      <c r="Q251" s="17" t="s">
        <v>66</v>
      </c>
    </row>
    <row r="252" spans="10:17" x14ac:dyDescent="0.2">
      <c r="K252" s="5"/>
      <c r="L252" s="12" t="s">
        <v>55</v>
      </c>
      <c r="M252" s="18">
        <v>6.2</v>
      </c>
      <c r="O252" s="2"/>
      <c r="P252" t="s">
        <v>55</v>
      </c>
      <c r="Q252" s="17">
        <v>3.1</v>
      </c>
    </row>
    <row r="253" spans="10:17" x14ac:dyDescent="0.2">
      <c r="K253" s="5"/>
      <c r="L253" s="12" t="s">
        <v>56</v>
      </c>
      <c r="M253" s="18" t="s">
        <v>66</v>
      </c>
      <c r="O253" s="2"/>
      <c r="P253" t="s">
        <v>56</v>
      </c>
      <c r="Q253" s="17" t="s">
        <v>66</v>
      </c>
    </row>
    <row r="254" spans="10:17" x14ac:dyDescent="0.2">
      <c r="K254" s="5"/>
      <c r="L254" s="12" t="s">
        <v>57</v>
      </c>
      <c r="M254" s="18">
        <v>4.5999999999999996</v>
      </c>
      <c r="O254" s="2"/>
      <c r="P254" t="s">
        <v>57</v>
      </c>
      <c r="Q254" s="17">
        <v>4.5</v>
      </c>
    </row>
    <row r="255" spans="10:17" x14ac:dyDescent="0.2">
      <c r="K255" s="5"/>
      <c r="L255" s="12" t="s">
        <v>58</v>
      </c>
      <c r="M255" s="18">
        <v>42.8</v>
      </c>
      <c r="O255" s="2"/>
      <c r="P255" t="s">
        <v>58</v>
      </c>
      <c r="Q255" s="17" t="s">
        <v>66</v>
      </c>
    </row>
    <row r="256" spans="10:17" x14ac:dyDescent="0.2">
      <c r="K256" s="2" t="s">
        <v>27</v>
      </c>
      <c r="L256" t="s">
        <v>49</v>
      </c>
      <c r="M256" s="17" t="s">
        <v>66</v>
      </c>
      <c r="O256" s="5" t="s">
        <v>34</v>
      </c>
      <c r="P256" s="12" t="s">
        <v>49</v>
      </c>
      <c r="Q256" s="18" t="s">
        <v>66</v>
      </c>
    </row>
    <row r="257" spans="11:17" x14ac:dyDescent="0.2">
      <c r="L257" t="s">
        <v>50</v>
      </c>
      <c r="M257" s="17" t="s">
        <v>66</v>
      </c>
      <c r="O257" s="5"/>
      <c r="P257" s="12" t="s">
        <v>50</v>
      </c>
      <c r="Q257" s="18">
        <v>22.7</v>
      </c>
    </row>
    <row r="258" spans="11:17" x14ac:dyDescent="0.2">
      <c r="L258" t="s">
        <v>51</v>
      </c>
      <c r="M258" s="17">
        <v>8.4</v>
      </c>
      <c r="O258" s="5"/>
      <c r="P258" s="12" t="s">
        <v>51</v>
      </c>
      <c r="Q258" s="18">
        <v>0.9</v>
      </c>
    </row>
    <row r="259" spans="11:17" x14ac:dyDescent="0.2">
      <c r="L259" t="s">
        <v>52</v>
      </c>
      <c r="M259" s="17">
        <v>8.1</v>
      </c>
      <c r="O259" s="5"/>
      <c r="P259" s="12" t="s">
        <v>52</v>
      </c>
      <c r="Q259" s="18">
        <v>6</v>
      </c>
    </row>
    <row r="260" spans="11:17" x14ac:dyDescent="0.2">
      <c r="L260" t="s">
        <v>53</v>
      </c>
      <c r="M260" s="17" t="s">
        <v>66</v>
      </c>
      <c r="O260" s="5"/>
      <c r="P260" s="12" t="s">
        <v>53</v>
      </c>
      <c r="Q260" s="18" t="s">
        <v>66</v>
      </c>
    </row>
    <row r="261" spans="11:17" x14ac:dyDescent="0.2">
      <c r="L261" t="s">
        <v>54</v>
      </c>
      <c r="M261" s="17" t="s">
        <v>66</v>
      </c>
      <c r="O261" s="5"/>
      <c r="P261" s="12" t="s">
        <v>54</v>
      </c>
      <c r="Q261" s="18" t="s">
        <v>66</v>
      </c>
    </row>
    <row r="262" spans="11:17" x14ac:dyDescent="0.2">
      <c r="L262" t="s">
        <v>55</v>
      </c>
      <c r="M262" s="17">
        <v>6.4</v>
      </c>
      <c r="O262" s="5"/>
      <c r="P262" s="12" t="s">
        <v>55</v>
      </c>
      <c r="Q262" s="18">
        <v>3.1</v>
      </c>
    </row>
    <row r="263" spans="11:17" x14ac:dyDescent="0.2">
      <c r="L263" t="s">
        <v>56</v>
      </c>
      <c r="M263" s="17" t="s">
        <v>66</v>
      </c>
      <c r="O263" s="5"/>
      <c r="P263" s="12" t="s">
        <v>56</v>
      </c>
      <c r="Q263" s="18" t="s">
        <v>66</v>
      </c>
    </row>
    <row r="264" spans="11:17" x14ac:dyDescent="0.2">
      <c r="L264" t="s">
        <v>57</v>
      </c>
      <c r="M264" s="17">
        <v>4.5999999999999996</v>
      </c>
      <c r="O264" s="5"/>
      <c r="P264" s="12" t="s">
        <v>57</v>
      </c>
      <c r="Q264" s="18">
        <v>9.1</v>
      </c>
    </row>
    <row r="265" spans="11:17" x14ac:dyDescent="0.2">
      <c r="L265" t="s">
        <v>58</v>
      </c>
      <c r="M265" s="17" t="s">
        <v>66</v>
      </c>
      <c r="O265" s="5"/>
      <c r="P265" s="12" t="s">
        <v>58</v>
      </c>
      <c r="Q265" s="18" t="s">
        <v>66</v>
      </c>
    </row>
    <row r="266" spans="11:17" x14ac:dyDescent="0.2">
      <c r="K266" s="5" t="s">
        <v>28</v>
      </c>
      <c r="L266" s="12" t="s">
        <v>49</v>
      </c>
      <c r="M266" s="18" t="s">
        <v>66</v>
      </c>
      <c r="O266" s="2" t="s">
        <v>35</v>
      </c>
      <c r="P266" t="s">
        <v>49</v>
      </c>
      <c r="Q266" s="17">
        <v>100</v>
      </c>
    </row>
    <row r="267" spans="11:17" x14ac:dyDescent="0.2">
      <c r="K267" s="5"/>
      <c r="L267" s="12" t="s">
        <v>50</v>
      </c>
      <c r="M267" s="18">
        <v>1.3</v>
      </c>
      <c r="O267" s="2"/>
      <c r="P267" t="s">
        <v>50</v>
      </c>
      <c r="Q267" s="17">
        <v>24</v>
      </c>
    </row>
    <row r="268" spans="11:17" x14ac:dyDescent="0.2">
      <c r="K268" s="5"/>
      <c r="L268" s="12" t="s">
        <v>51</v>
      </c>
      <c r="M268" s="18">
        <v>9</v>
      </c>
      <c r="O268" s="2"/>
      <c r="P268" t="s">
        <v>51</v>
      </c>
      <c r="Q268" s="17">
        <v>0.9</v>
      </c>
    </row>
    <row r="269" spans="11:17" x14ac:dyDescent="0.2">
      <c r="K269" s="5"/>
      <c r="L269" s="12" t="s">
        <v>52</v>
      </c>
      <c r="M269" s="18">
        <v>10</v>
      </c>
      <c r="O269" s="2"/>
      <c r="P269" t="s">
        <v>52</v>
      </c>
      <c r="Q269" s="17">
        <v>1.1000000000000001</v>
      </c>
    </row>
    <row r="270" spans="11:17" x14ac:dyDescent="0.2">
      <c r="K270" s="5"/>
      <c r="L270" s="12" t="s">
        <v>53</v>
      </c>
      <c r="M270" s="18" t="s">
        <v>66</v>
      </c>
      <c r="O270" s="2"/>
      <c r="P270" t="s">
        <v>53</v>
      </c>
      <c r="Q270" s="17" t="s">
        <v>66</v>
      </c>
    </row>
    <row r="271" spans="11:17" x14ac:dyDescent="0.2">
      <c r="K271" s="5"/>
      <c r="L271" s="12" t="s">
        <v>54</v>
      </c>
      <c r="M271" s="18" t="s">
        <v>66</v>
      </c>
      <c r="O271" s="2"/>
      <c r="P271" t="s">
        <v>54</v>
      </c>
      <c r="Q271" s="17" t="s">
        <v>66</v>
      </c>
    </row>
    <row r="272" spans="11:17" x14ac:dyDescent="0.2">
      <c r="K272" s="5"/>
      <c r="L272" s="12" t="s">
        <v>55</v>
      </c>
      <c r="M272" s="18">
        <v>5.6</v>
      </c>
      <c r="O272" s="2"/>
      <c r="P272" t="s">
        <v>55</v>
      </c>
      <c r="Q272" s="17">
        <v>8.6999999999999993</v>
      </c>
    </row>
    <row r="273" spans="11:17" x14ac:dyDescent="0.2">
      <c r="K273" s="5"/>
      <c r="L273" s="12" t="s">
        <v>56</v>
      </c>
      <c r="M273" s="18" t="s">
        <v>66</v>
      </c>
      <c r="O273" s="2"/>
      <c r="P273" t="s">
        <v>56</v>
      </c>
      <c r="Q273" s="17">
        <v>2.7</v>
      </c>
    </row>
    <row r="274" spans="11:17" x14ac:dyDescent="0.2">
      <c r="K274" s="5"/>
      <c r="L274" s="12" t="s">
        <v>57</v>
      </c>
      <c r="M274" s="18">
        <v>0.7</v>
      </c>
      <c r="O274" s="2"/>
      <c r="P274" t="s">
        <v>57</v>
      </c>
      <c r="Q274" s="17">
        <v>0.9</v>
      </c>
    </row>
    <row r="275" spans="11:17" x14ac:dyDescent="0.2">
      <c r="K275" s="5"/>
      <c r="L275" s="12" t="s">
        <v>58</v>
      </c>
      <c r="M275" s="18">
        <v>41.8</v>
      </c>
      <c r="O275" s="2"/>
      <c r="P275" t="s">
        <v>58</v>
      </c>
      <c r="Q275" s="17">
        <v>40.5</v>
      </c>
    </row>
    <row r="276" spans="11:17" x14ac:dyDescent="0.2">
      <c r="K276" s="2" t="s">
        <v>29</v>
      </c>
      <c r="L276" t="s">
        <v>49</v>
      </c>
      <c r="M276" s="17" t="s">
        <v>66</v>
      </c>
      <c r="O276" s="5" t="s">
        <v>36</v>
      </c>
      <c r="P276" s="12" t="s">
        <v>49</v>
      </c>
      <c r="Q276" s="18" t="s">
        <v>66</v>
      </c>
    </row>
    <row r="277" spans="11:17" x14ac:dyDescent="0.2">
      <c r="L277" t="s">
        <v>50</v>
      </c>
      <c r="M277" s="17" t="s">
        <v>66</v>
      </c>
      <c r="O277" s="5"/>
      <c r="P277" s="12" t="s">
        <v>50</v>
      </c>
      <c r="Q277" s="18" t="s">
        <v>66</v>
      </c>
    </row>
    <row r="278" spans="11:17" x14ac:dyDescent="0.2">
      <c r="L278" t="s">
        <v>51</v>
      </c>
      <c r="M278" s="17">
        <v>1.3</v>
      </c>
      <c r="O278" s="5"/>
      <c r="P278" s="12" t="s">
        <v>51</v>
      </c>
      <c r="Q278" s="18">
        <v>8.1</v>
      </c>
    </row>
    <row r="279" spans="11:17" x14ac:dyDescent="0.2">
      <c r="L279" t="s">
        <v>52</v>
      </c>
      <c r="M279" s="17">
        <v>6.2</v>
      </c>
      <c r="O279" s="5"/>
      <c r="P279" s="12" t="s">
        <v>52</v>
      </c>
      <c r="Q279" s="18">
        <v>7.9</v>
      </c>
    </row>
    <row r="280" spans="11:17" x14ac:dyDescent="0.2">
      <c r="L280" t="s">
        <v>53</v>
      </c>
      <c r="M280" s="17" t="s">
        <v>66</v>
      </c>
      <c r="O280" s="5"/>
      <c r="P280" s="12" t="s">
        <v>53</v>
      </c>
      <c r="Q280" s="18" t="s">
        <v>66</v>
      </c>
    </row>
    <row r="281" spans="11:17" x14ac:dyDescent="0.2">
      <c r="L281" t="s">
        <v>54</v>
      </c>
      <c r="M281" s="17">
        <v>100</v>
      </c>
      <c r="O281" s="5"/>
      <c r="P281" s="12" t="s">
        <v>54</v>
      </c>
      <c r="Q281" s="18" t="s">
        <v>66</v>
      </c>
    </row>
    <row r="282" spans="11:17" x14ac:dyDescent="0.2">
      <c r="L282" t="s">
        <v>55</v>
      </c>
      <c r="M282" s="17">
        <v>8.1999999999999993</v>
      </c>
      <c r="O282" s="5"/>
      <c r="P282" s="12" t="s">
        <v>55</v>
      </c>
      <c r="Q282" s="18">
        <v>3.5</v>
      </c>
    </row>
    <row r="283" spans="11:17" x14ac:dyDescent="0.2">
      <c r="L283" t="s">
        <v>56</v>
      </c>
      <c r="M283" s="17" t="s">
        <v>66</v>
      </c>
      <c r="O283" s="5"/>
      <c r="P283" s="12" t="s">
        <v>56</v>
      </c>
      <c r="Q283" s="18" t="s">
        <v>66</v>
      </c>
    </row>
    <row r="284" spans="11:17" x14ac:dyDescent="0.2">
      <c r="L284" t="s">
        <v>57</v>
      </c>
      <c r="M284" s="17">
        <v>9</v>
      </c>
      <c r="O284" s="5"/>
      <c r="P284" s="12" t="s">
        <v>57</v>
      </c>
      <c r="Q284" s="18">
        <v>4.0999999999999996</v>
      </c>
    </row>
    <row r="285" spans="11:17" x14ac:dyDescent="0.2">
      <c r="L285" t="s">
        <v>58</v>
      </c>
      <c r="M285" s="17">
        <v>2.4</v>
      </c>
      <c r="O285" s="5"/>
      <c r="P285" s="12" t="s">
        <v>58</v>
      </c>
      <c r="Q285" s="18" t="s">
        <v>66</v>
      </c>
    </row>
    <row r="286" spans="11:17" x14ac:dyDescent="0.2">
      <c r="K286" s="5" t="s">
        <v>30</v>
      </c>
      <c r="L286" s="12" t="s">
        <v>49</v>
      </c>
      <c r="M286" s="18" t="s">
        <v>66</v>
      </c>
      <c r="O286" s="2" t="s">
        <v>37</v>
      </c>
      <c r="P286" t="s">
        <v>49</v>
      </c>
      <c r="Q286" s="17" t="s">
        <v>66</v>
      </c>
    </row>
    <row r="287" spans="11:17" x14ac:dyDescent="0.2">
      <c r="K287" s="5"/>
      <c r="L287" s="12" t="s">
        <v>50</v>
      </c>
      <c r="M287" s="18" t="s">
        <v>66</v>
      </c>
      <c r="O287" s="2"/>
      <c r="P287" t="s">
        <v>50</v>
      </c>
      <c r="Q287" s="17" t="s">
        <v>66</v>
      </c>
    </row>
    <row r="288" spans="11:17" x14ac:dyDescent="0.2">
      <c r="K288" s="5"/>
      <c r="L288" s="12" t="s">
        <v>51</v>
      </c>
      <c r="M288" s="18">
        <v>0.4</v>
      </c>
      <c r="O288" s="2"/>
      <c r="P288" t="s">
        <v>51</v>
      </c>
      <c r="Q288" s="17">
        <v>1.3</v>
      </c>
    </row>
    <row r="289" spans="11:17" x14ac:dyDescent="0.2">
      <c r="K289" s="5"/>
      <c r="L289" s="12" t="s">
        <v>52</v>
      </c>
      <c r="M289" s="18">
        <v>4.3</v>
      </c>
      <c r="O289" s="2"/>
      <c r="P289" t="s">
        <v>52</v>
      </c>
      <c r="Q289" s="17">
        <v>8</v>
      </c>
    </row>
    <row r="290" spans="11:17" x14ac:dyDescent="0.2">
      <c r="K290" s="5"/>
      <c r="L290" s="12" t="s">
        <v>53</v>
      </c>
      <c r="M290" s="18" t="s">
        <v>66</v>
      </c>
      <c r="O290" s="2"/>
      <c r="P290" t="s">
        <v>53</v>
      </c>
      <c r="Q290" s="17" t="s">
        <v>66</v>
      </c>
    </row>
    <row r="291" spans="11:17" x14ac:dyDescent="0.2">
      <c r="K291" s="5"/>
      <c r="L291" s="12" t="s">
        <v>54</v>
      </c>
      <c r="M291" s="18" t="s">
        <v>66</v>
      </c>
      <c r="O291" s="2"/>
      <c r="P291" t="s">
        <v>54</v>
      </c>
      <c r="Q291" s="17">
        <v>100</v>
      </c>
    </row>
    <row r="292" spans="11:17" x14ac:dyDescent="0.2">
      <c r="K292" s="5"/>
      <c r="L292" s="12" t="s">
        <v>55</v>
      </c>
      <c r="M292" s="18">
        <v>7.9</v>
      </c>
      <c r="O292" s="2"/>
      <c r="P292" t="s">
        <v>55</v>
      </c>
      <c r="Q292" s="17">
        <v>10.7</v>
      </c>
    </row>
    <row r="293" spans="11:17" x14ac:dyDescent="0.2">
      <c r="K293" s="5"/>
      <c r="L293" s="12" t="s">
        <v>56</v>
      </c>
      <c r="M293" s="18" t="s">
        <v>66</v>
      </c>
      <c r="O293" s="2"/>
      <c r="P293" t="s">
        <v>56</v>
      </c>
      <c r="Q293" s="17" t="s">
        <v>66</v>
      </c>
    </row>
    <row r="294" spans="11:17" x14ac:dyDescent="0.2">
      <c r="K294" s="5"/>
      <c r="L294" s="12" t="s">
        <v>57</v>
      </c>
      <c r="M294" s="18">
        <v>13.1</v>
      </c>
      <c r="O294" s="2"/>
      <c r="P294" t="s">
        <v>57</v>
      </c>
      <c r="Q294" s="17">
        <v>4.7</v>
      </c>
    </row>
    <row r="295" spans="11:17" x14ac:dyDescent="0.2">
      <c r="K295" s="5"/>
      <c r="L295" s="12" t="s">
        <v>58</v>
      </c>
      <c r="M295" s="18" t="s">
        <v>66</v>
      </c>
      <c r="O295" s="2"/>
      <c r="P295" t="s">
        <v>58</v>
      </c>
      <c r="Q295" s="17" t="s">
        <v>66</v>
      </c>
    </row>
    <row r="296" spans="11:17" x14ac:dyDescent="0.2">
      <c r="K296" s="2" t="s">
        <v>31</v>
      </c>
      <c r="L296" t="s">
        <v>49</v>
      </c>
      <c r="M296" s="17" t="s">
        <v>66</v>
      </c>
      <c r="O296" s="5" t="s">
        <v>38</v>
      </c>
      <c r="P296" s="12" t="s">
        <v>49</v>
      </c>
      <c r="Q296" s="18" t="s">
        <v>66</v>
      </c>
    </row>
    <row r="297" spans="11:17" x14ac:dyDescent="0.2">
      <c r="L297" t="s">
        <v>50</v>
      </c>
      <c r="M297" s="17" t="s">
        <v>66</v>
      </c>
      <c r="O297" s="5"/>
      <c r="P297" s="12" t="s">
        <v>50</v>
      </c>
      <c r="Q297" s="18" t="s">
        <v>66</v>
      </c>
    </row>
    <row r="298" spans="11:17" x14ac:dyDescent="0.2">
      <c r="L298" t="s">
        <v>51</v>
      </c>
      <c r="M298" s="17">
        <v>0.4</v>
      </c>
      <c r="O298" s="5"/>
      <c r="P298" s="12" t="s">
        <v>51</v>
      </c>
      <c r="Q298" s="18">
        <v>0.8</v>
      </c>
    </row>
    <row r="299" spans="11:17" x14ac:dyDescent="0.2">
      <c r="L299" t="s">
        <v>52</v>
      </c>
      <c r="M299" s="17">
        <v>6.2</v>
      </c>
      <c r="O299" s="5"/>
      <c r="P299" s="12" t="s">
        <v>52</v>
      </c>
      <c r="Q299" s="18">
        <v>8</v>
      </c>
    </row>
    <row r="300" spans="11:17" x14ac:dyDescent="0.2">
      <c r="L300" t="s">
        <v>53</v>
      </c>
      <c r="M300" s="17" t="s">
        <v>66</v>
      </c>
      <c r="O300" s="5"/>
      <c r="P300" s="12" t="s">
        <v>53</v>
      </c>
      <c r="Q300" s="18" t="s">
        <v>66</v>
      </c>
    </row>
    <row r="301" spans="11:17" x14ac:dyDescent="0.2">
      <c r="L301" t="s">
        <v>54</v>
      </c>
      <c r="M301" s="17" t="s">
        <v>66</v>
      </c>
      <c r="O301" s="5"/>
      <c r="P301" s="12" t="s">
        <v>54</v>
      </c>
      <c r="Q301" s="18" t="s">
        <v>66</v>
      </c>
    </row>
    <row r="302" spans="11:17" x14ac:dyDescent="0.2">
      <c r="L302" t="s">
        <v>55</v>
      </c>
      <c r="M302" s="17">
        <v>8.6</v>
      </c>
      <c r="O302" s="5"/>
      <c r="P302" s="12" t="s">
        <v>55</v>
      </c>
      <c r="Q302" s="18">
        <v>8.1999999999999993</v>
      </c>
    </row>
    <row r="303" spans="11:17" x14ac:dyDescent="0.2">
      <c r="L303" t="s">
        <v>56</v>
      </c>
      <c r="M303" s="17" t="s">
        <v>66</v>
      </c>
      <c r="O303" s="5"/>
      <c r="P303" s="12" t="s">
        <v>56</v>
      </c>
      <c r="Q303" s="18" t="s">
        <v>66</v>
      </c>
    </row>
    <row r="304" spans="11:17" x14ac:dyDescent="0.2">
      <c r="L304" t="s">
        <v>57</v>
      </c>
      <c r="M304" s="17">
        <v>1</v>
      </c>
      <c r="O304" s="5"/>
      <c r="P304" s="12" t="s">
        <v>57</v>
      </c>
      <c r="Q304" s="18">
        <v>4.3</v>
      </c>
    </row>
    <row r="305" spans="10:17" x14ac:dyDescent="0.2">
      <c r="L305" t="s">
        <v>58</v>
      </c>
      <c r="M305" s="17" t="s">
        <v>66</v>
      </c>
      <c r="O305" s="5"/>
      <c r="P305" s="12" t="s">
        <v>58</v>
      </c>
      <c r="Q305" s="18" t="s">
        <v>66</v>
      </c>
    </row>
    <row r="306" spans="10:17" x14ac:dyDescent="0.2">
      <c r="K306" s="5" t="s">
        <v>32</v>
      </c>
      <c r="L306" s="12" t="s">
        <v>49</v>
      </c>
      <c r="M306" s="18" t="s">
        <v>66</v>
      </c>
    </row>
    <row r="307" spans="10:17" x14ac:dyDescent="0.2">
      <c r="K307" s="5"/>
      <c r="L307" s="12" t="s">
        <v>50</v>
      </c>
      <c r="M307" s="18" t="s">
        <v>66</v>
      </c>
    </row>
    <row r="308" spans="10:17" x14ac:dyDescent="0.2">
      <c r="K308" s="5"/>
      <c r="L308" s="12" t="s">
        <v>51</v>
      </c>
      <c r="M308" s="18">
        <v>15.3</v>
      </c>
    </row>
    <row r="309" spans="10:17" x14ac:dyDescent="0.2">
      <c r="K309" s="5"/>
      <c r="L309" s="12" t="s">
        <v>52</v>
      </c>
      <c r="M309" s="18">
        <v>6.2</v>
      </c>
    </row>
    <row r="310" spans="10:17" x14ac:dyDescent="0.2">
      <c r="K310" s="5"/>
      <c r="L310" s="12" t="s">
        <v>53</v>
      </c>
      <c r="M310" s="18" t="s">
        <v>66</v>
      </c>
    </row>
    <row r="311" spans="10:17" x14ac:dyDescent="0.2">
      <c r="K311" s="5"/>
      <c r="L311" s="12" t="s">
        <v>54</v>
      </c>
      <c r="M311" s="18">
        <v>100</v>
      </c>
    </row>
    <row r="312" spans="10:17" x14ac:dyDescent="0.2">
      <c r="K312" s="5"/>
      <c r="L312" s="12" t="s">
        <v>55</v>
      </c>
      <c r="M312" s="18">
        <v>9.1</v>
      </c>
    </row>
    <row r="313" spans="10:17" x14ac:dyDescent="0.2">
      <c r="K313" s="5"/>
      <c r="L313" s="12" t="s">
        <v>56</v>
      </c>
      <c r="M313" s="18" t="s">
        <v>66</v>
      </c>
    </row>
    <row r="314" spans="10:17" x14ac:dyDescent="0.2">
      <c r="K314" s="5"/>
      <c r="L314" s="12" t="s">
        <v>57</v>
      </c>
      <c r="M314" s="18">
        <v>5</v>
      </c>
    </row>
    <row r="315" spans="10:17" x14ac:dyDescent="0.2">
      <c r="K315" s="5"/>
      <c r="L315" s="12" t="s">
        <v>58</v>
      </c>
      <c r="M315" s="18">
        <v>41.5</v>
      </c>
    </row>
    <row r="320" spans="10:17" x14ac:dyDescent="0.2">
      <c r="J320" s="10" t="s">
        <v>40</v>
      </c>
      <c r="K320" s="2" t="s">
        <v>26</v>
      </c>
      <c r="L320" t="s">
        <v>49</v>
      </c>
      <c r="M320" s="17">
        <v>100</v>
      </c>
      <c r="O320" s="5" t="s">
        <v>33</v>
      </c>
      <c r="P320" s="12" t="s">
        <v>49</v>
      </c>
      <c r="Q320" s="18" t="s">
        <v>66</v>
      </c>
    </row>
    <row r="321" spans="11:17" x14ac:dyDescent="0.2">
      <c r="L321" t="s">
        <v>50</v>
      </c>
      <c r="M321" s="17">
        <v>77</v>
      </c>
      <c r="O321" s="5"/>
      <c r="P321" s="12" t="s">
        <v>50</v>
      </c>
      <c r="Q321" s="18">
        <v>25.3</v>
      </c>
    </row>
    <row r="322" spans="11:17" x14ac:dyDescent="0.2">
      <c r="L322" t="s">
        <v>51</v>
      </c>
      <c r="M322" s="17">
        <v>73.3</v>
      </c>
      <c r="O322" s="5"/>
      <c r="P322" s="12" t="s">
        <v>51</v>
      </c>
      <c r="Q322" s="18">
        <v>49.6</v>
      </c>
    </row>
    <row r="323" spans="11:17" x14ac:dyDescent="0.2">
      <c r="L323" t="s">
        <v>52</v>
      </c>
      <c r="M323" s="17">
        <v>74.3</v>
      </c>
      <c r="O323" s="5"/>
      <c r="P323" s="12" t="s">
        <v>52</v>
      </c>
      <c r="Q323" s="18">
        <v>54.3</v>
      </c>
    </row>
    <row r="324" spans="11:17" x14ac:dyDescent="0.2">
      <c r="L324" t="s">
        <v>53</v>
      </c>
      <c r="M324" s="17" t="s">
        <v>66</v>
      </c>
      <c r="O324" s="5"/>
      <c r="P324" s="12" t="s">
        <v>53</v>
      </c>
      <c r="Q324" s="18" t="s">
        <v>66</v>
      </c>
    </row>
    <row r="325" spans="11:17" x14ac:dyDescent="0.2">
      <c r="L325" t="s">
        <v>54</v>
      </c>
      <c r="M325" s="17">
        <v>100</v>
      </c>
      <c r="O325" s="5"/>
      <c r="P325" s="12" t="s">
        <v>54</v>
      </c>
      <c r="Q325" s="18" t="s">
        <v>66</v>
      </c>
    </row>
    <row r="326" spans="11:17" x14ac:dyDescent="0.2">
      <c r="L326" t="s">
        <v>55</v>
      </c>
      <c r="M326" s="17">
        <v>67.5</v>
      </c>
      <c r="O326" s="5"/>
      <c r="P326" s="12" t="s">
        <v>55</v>
      </c>
      <c r="Q326" s="18">
        <v>40.9</v>
      </c>
    </row>
    <row r="327" spans="11:17" x14ac:dyDescent="0.2">
      <c r="L327" t="s">
        <v>56</v>
      </c>
      <c r="M327" s="17">
        <v>100</v>
      </c>
      <c r="O327" s="5"/>
      <c r="P327" s="12" t="s">
        <v>56</v>
      </c>
      <c r="Q327" s="18">
        <v>51.4</v>
      </c>
    </row>
    <row r="328" spans="11:17" x14ac:dyDescent="0.2">
      <c r="L328" t="s">
        <v>57</v>
      </c>
      <c r="M328" s="17">
        <v>77.5</v>
      </c>
      <c r="O328" s="5"/>
      <c r="P328" s="12" t="s">
        <v>57</v>
      </c>
      <c r="Q328" s="18">
        <v>41.2</v>
      </c>
    </row>
    <row r="329" spans="11:17" x14ac:dyDescent="0.2">
      <c r="L329" t="s">
        <v>58</v>
      </c>
      <c r="M329" s="17">
        <v>52.4</v>
      </c>
      <c r="O329" s="5"/>
      <c r="P329" s="12" t="s">
        <v>58</v>
      </c>
      <c r="Q329" s="18">
        <v>14.3</v>
      </c>
    </row>
    <row r="330" spans="11:17" x14ac:dyDescent="0.2">
      <c r="K330" s="5" t="s">
        <v>27</v>
      </c>
      <c r="L330" s="12" t="s">
        <v>49</v>
      </c>
      <c r="M330" s="18">
        <v>100</v>
      </c>
      <c r="O330" s="2" t="s">
        <v>34</v>
      </c>
      <c r="P330" t="s">
        <v>49</v>
      </c>
      <c r="Q330" s="17">
        <v>100</v>
      </c>
    </row>
    <row r="331" spans="11:17" x14ac:dyDescent="0.2">
      <c r="K331" s="5"/>
      <c r="L331" s="12" t="s">
        <v>50</v>
      </c>
      <c r="M331" s="18">
        <v>48</v>
      </c>
      <c r="O331" s="2"/>
      <c r="P331" t="s">
        <v>50</v>
      </c>
      <c r="Q331" s="17">
        <v>25.3</v>
      </c>
    </row>
    <row r="332" spans="11:17" x14ac:dyDescent="0.2">
      <c r="K332" s="5"/>
      <c r="L332" s="12" t="s">
        <v>51</v>
      </c>
      <c r="M332" s="18">
        <v>64</v>
      </c>
      <c r="O332" s="2"/>
      <c r="P332" t="s">
        <v>51</v>
      </c>
      <c r="Q332" s="17">
        <v>32.299999999999997</v>
      </c>
    </row>
    <row r="333" spans="11:17" x14ac:dyDescent="0.2">
      <c r="K333" s="5"/>
      <c r="L333" s="12" t="s">
        <v>52</v>
      </c>
      <c r="M333" s="18">
        <v>52.9</v>
      </c>
      <c r="O333" s="2"/>
      <c r="P333" t="s">
        <v>52</v>
      </c>
      <c r="Q333" s="17">
        <v>35.200000000000003</v>
      </c>
    </row>
    <row r="334" spans="11:17" x14ac:dyDescent="0.2">
      <c r="K334" s="5"/>
      <c r="L334" s="12" t="s">
        <v>53</v>
      </c>
      <c r="M334" s="18" t="s">
        <v>66</v>
      </c>
      <c r="O334" s="2"/>
      <c r="P334" t="s">
        <v>53</v>
      </c>
      <c r="Q334" s="17" t="s">
        <v>66</v>
      </c>
    </row>
    <row r="335" spans="11:17" x14ac:dyDescent="0.2">
      <c r="K335" s="5"/>
      <c r="L335" s="12" t="s">
        <v>54</v>
      </c>
      <c r="M335" s="18">
        <v>100</v>
      </c>
      <c r="O335" s="2"/>
      <c r="P335" t="s">
        <v>54</v>
      </c>
      <c r="Q335" s="17" t="s">
        <v>66</v>
      </c>
    </row>
    <row r="336" spans="11:17" x14ac:dyDescent="0.2">
      <c r="K336" s="5"/>
      <c r="L336" s="12" t="s">
        <v>55</v>
      </c>
      <c r="M336" s="18">
        <v>39.1</v>
      </c>
      <c r="O336" s="2"/>
      <c r="P336" t="s">
        <v>55</v>
      </c>
      <c r="Q336" s="17">
        <v>14.3</v>
      </c>
    </row>
    <row r="337" spans="11:17" x14ac:dyDescent="0.2">
      <c r="K337" s="5"/>
      <c r="L337" s="12" t="s">
        <v>56</v>
      </c>
      <c r="M337" s="18">
        <v>100</v>
      </c>
      <c r="O337" s="2"/>
      <c r="P337" t="s">
        <v>56</v>
      </c>
      <c r="Q337" s="17">
        <v>48.6</v>
      </c>
    </row>
    <row r="338" spans="11:17" x14ac:dyDescent="0.2">
      <c r="K338" s="5"/>
      <c r="L338" s="12" t="s">
        <v>57</v>
      </c>
      <c r="M338" s="18">
        <v>38.1</v>
      </c>
      <c r="O338" s="2"/>
      <c r="P338" t="s">
        <v>57</v>
      </c>
      <c r="Q338" s="17">
        <v>35.9</v>
      </c>
    </row>
    <row r="339" spans="11:17" x14ac:dyDescent="0.2">
      <c r="K339" s="5"/>
      <c r="L339" s="12" t="s">
        <v>58</v>
      </c>
      <c r="M339" s="18">
        <v>53.5</v>
      </c>
      <c r="O339" s="2"/>
      <c r="P339" t="s">
        <v>58</v>
      </c>
      <c r="Q339" s="17">
        <v>9.5</v>
      </c>
    </row>
    <row r="340" spans="11:17" x14ac:dyDescent="0.2">
      <c r="K340" s="2" t="s">
        <v>28</v>
      </c>
      <c r="L340" t="s">
        <v>49</v>
      </c>
      <c r="M340" s="17" t="s">
        <v>66</v>
      </c>
      <c r="O340" s="5" t="s">
        <v>35</v>
      </c>
      <c r="P340" s="12" t="s">
        <v>49</v>
      </c>
      <c r="Q340" s="18">
        <v>100</v>
      </c>
    </row>
    <row r="341" spans="11:17" x14ac:dyDescent="0.2">
      <c r="L341" t="s">
        <v>50</v>
      </c>
      <c r="M341" s="17">
        <v>24</v>
      </c>
      <c r="O341" s="5"/>
      <c r="P341" s="12" t="s">
        <v>50</v>
      </c>
      <c r="Q341" s="18">
        <v>28</v>
      </c>
    </row>
    <row r="342" spans="11:17" x14ac:dyDescent="0.2">
      <c r="L342" t="s">
        <v>51</v>
      </c>
      <c r="M342" s="17">
        <v>39.799999999999997</v>
      </c>
      <c r="O342" s="5"/>
      <c r="P342" s="12" t="s">
        <v>51</v>
      </c>
      <c r="Q342" s="18">
        <v>57.6</v>
      </c>
    </row>
    <row r="343" spans="11:17" x14ac:dyDescent="0.2">
      <c r="L343" t="s">
        <v>52</v>
      </c>
      <c r="M343" s="17">
        <v>37.700000000000003</v>
      </c>
      <c r="O343" s="5"/>
      <c r="P343" s="12" t="s">
        <v>52</v>
      </c>
      <c r="Q343" s="18">
        <v>65</v>
      </c>
    </row>
    <row r="344" spans="11:17" x14ac:dyDescent="0.2">
      <c r="L344" t="s">
        <v>53</v>
      </c>
      <c r="M344" s="17" t="s">
        <v>66</v>
      </c>
      <c r="O344" s="5"/>
      <c r="P344" s="12" t="s">
        <v>53</v>
      </c>
      <c r="Q344" s="18" t="s">
        <v>66</v>
      </c>
    </row>
    <row r="345" spans="11:17" x14ac:dyDescent="0.2">
      <c r="L345" t="s">
        <v>54</v>
      </c>
      <c r="M345" s="17">
        <v>100</v>
      </c>
      <c r="O345" s="5"/>
      <c r="P345" s="12" t="s">
        <v>54</v>
      </c>
      <c r="Q345" s="18">
        <v>100</v>
      </c>
    </row>
    <row r="346" spans="11:17" x14ac:dyDescent="0.2">
      <c r="L346" t="s">
        <v>55</v>
      </c>
      <c r="M346" s="17">
        <v>16.899999999999999</v>
      </c>
      <c r="O346" s="5"/>
      <c r="P346" s="12" t="s">
        <v>55</v>
      </c>
      <c r="Q346" s="18">
        <v>58.7</v>
      </c>
    </row>
    <row r="347" spans="11:17" x14ac:dyDescent="0.2">
      <c r="L347" t="s">
        <v>56</v>
      </c>
      <c r="M347" s="17">
        <v>51.4</v>
      </c>
      <c r="O347" s="5"/>
      <c r="P347" s="12" t="s">
        <v>56</v>
      </c>
      <c r="Q347" s="18">
        <v>97.3</v>
      </c>
    </row>
    <row r="348" spans="11:17" x14ac:dyDescent="0.2">
      <c r="L348" t="s">
        <v>57</v>
      </c>
      <c r="M348" s="17">
        <v>33.4</v>
      </c>
      <c r="O348" s="5"/>
      <c r="P348" s="12" t="s">
        <v>57</v>
      </c>
      <c r="Q348" s="18">
        <v>61.7</v>
      </c>
    </row>
    <row r="349" spans="11:17" x14ac:dyDescent="0.2">
      <c r="L349" t="s">
        <v>58</v>
      </c>
      <c r="M349" s="17">
        <v>50</v>
      </c>
      <c r="O349" s="5"/>
      <c r="P349" s="12" t="s">
        <v>58</v>
      </c>
      <c r="Q349" s="18">
        <v>52.4</v>
      </c>
    </row>
    <row r="350" spans="11:17" x14ac:dyDescent="0.2">
      <c r="K350" s="5" t="s">
        <v>29</v>
      </c>
      <c r="L350" s="12" t="s">
        <v>49</v>
      </c>
      <c r="M350" s="18" t="s">
        <v>66</v>
      </c>
      <c r="O350" s="2" t="s">
        <v>36</v>
      </c>
      <c r="P350" t="s">
        <v>49</v>
      </c>
      <c r="Q350" s="17">
        <v>100</v>
      </c>
    </row>
    <row r="351" spans="11:17" x14ac:dyDescent="0.2">
      <c r="K351" s="5"/>
      <c r="L351" s="12" t="s">
        <v>50</v>
      </c>
      <c r="M351" s="18">
        <v>25.3</v>
      </c>
      <c r="O351" s="2"/>
      <c r="P351" t="s">
        <v>50</v>
      </c>
      <c r="Q351" s="17">
        <v>73.3</v>
      </c>
    </row>
    <row r="352" spans="11:17" x14ac:dyDescent="0.2">
      <c r="K352" s="5"/>
      <c r="L352" s="12" t="s">
        <v>51</v>
      </c>
      <c r="M352" s="18">
        <v>41.5</v>
      </c>
      <c r="O352" s="2"/>
      <c r="P352" t="s">
        <v>51</v>
      </c>
      <c r="Q352" s="17">
        <v>71.2</v>
      </c>
    </row>
    <row r="353" spans="11:17" x14ac:dyDescent="0.2">
      <c r="K353" s="5"/>
      <c r="L353" s="12" t="s">
        <v>52</v>
      </c>
      <c r="M353" s="18">
        <v>48.9</v>
      </c>
      <c r="O353" s="2"/>
      <c r="P353" t="s">
        <v>52</v>
      </c>
      <c r="Q353" s="17">
        <v>72.599999999999994</v>
      </c>
    </row>
    <row r="354" spans="11:17" x14ac:dyDescent="0.2">
      <c r="K354" s="5"/>
      <c r="L354" s="12" t="s">
        <v>53</v>
      </c>
      <c r="M354" s="18" t="s">
        <v>66</v>
      </c>
      <c r="O354" s="2"/>
      <c r="P354" t="s">
        <v>53</v>
      </c>
      <c r="Q354" s="17" t="s">
        <v>66</v>
      </c>
    </row>
    <row r="355" spans="11:17" x14ac:dyDescent="0.2">
      <c r="K355" s="5"/>
      <c r="L355" s="12" t="s">
        <v>54</v>
      </c>
      <c r="M355" s="18">
        <v>100</v>
      </c>
      <c r="O355" s="2"/>
      <c r="P355" t="s">
        <v>54</v>
      </c>
      <c r="Q355" s="17">
        <v>100</v>
      </c>
    </row>
    <row r="356" spans="11:17" x14ac:dyDescent="0.2">
      <c r="K356" s="5"/>
      <c r="L356" s="12" t="s">
        <v>55</v>
      </c>
      <c r="M356" s="18">
        <v>34.6</v>
      </c>
      <c r="O356" s="2"/>
      <c r="P356" t="s">
        <v>55</v>
      </c>
      <c r="Q356" s="17">
        <v>60</v>
      </c>
    </row>
    <row r="357" spans="11:17" x14ac:dyDescent="0.2">
      <c r="K357" s="5"/>
      <c r="L357" s="12" t="s">
        <v>56</v>
      </c>
      <c r="M357" s="18">
        <v>47.2</v>
      </c>
      <c r="O357" s="2"/>
      <c r="P357" t="s">
        <v>56</v>
      </c>
      <c r="Q357" s="17">
        <v>50</v>
      </c>
    </row>
    <row r="358" spans="11:17" x14ac:dyDescent="0.2">
      <c r="K358" s="5"/>
      <c r="L358" s="12" t="s">
        <v>57</v>
      </c>
      <c r="M358" s="18">
        <v>46.1</v>
      </c>
      <c r="O358" s="2"/>
      <c r="P358" t="s">
        <v>57</v>
      </c>
      <c r="Q358" s="17">
        <v>61.2</v>
      </c>
    </row>
    <row r="359" spans="11:17" x14ac:dyDescent="0.2">
      <c r="K359" s="5"/>
      <c r="L359" s="12" t="s">
        <v>58</v>
      </c>
      <c r="M359" s="18">
        <v>50</v>
      </c>
      <c r="O359" s="2"/>
      <c r="P359" t="s">
        <v>58</v>
      </c>
      <c r="Q359" s="17">
        <v>20</v>
      </c>
    </row>
    <row r="360" spans="11:17" x14ac:dyDescent="0.2">
      <c r="K360" s="2" t="s">
        <v>30</v>
      </c>
      <c r="L360" t="s">
        <v>49</v>
      </c>
      <c r="M360" s="17">
        <v>100</v>
      </c>
      <c r="O360" s="5" t="s">
        <v>37</v>
      </c>
      <c r="P360" s="12" t="s">
        <v>49</v>
      </c>
      <c r="Q360" s="18">
        <v>100</v>
      </c>
    </row>
    <row r="361" spans="11:17" x14ac:dyDescent="0.2">
      <c r="L361" t="s">
        <v>50</v>
      </c>
      <c r="M361" s="17">
        <v>24</v>
      </c>
      <c r="O361" s="5"/>
      <c r="P361" s="12" t="s">
        <v>50</v>
      </c>
      <c r="Q361" s="18">
        <v>46.7</v>
      </c>
    </row>
    <row r="362" spans="11:17" x14ac:dyDescent="0.2">
      <c r="L362" t="s">
        <v>51</v>
      </c>
      <c r="M362" s="17">
        <v>55.9</v>
      </c>
      <c r="O362" s="5"/>
      <c r="P362" s="12" t="s">
        <v>51</v>
      </c>
      <c r="Q362" s="18">
        <v>34.299999999999997</v>
      </c>
    </row>
    <row r="363" spans="11:17" x14ac:dyDescent="0.2">
      <c r="L363" t="s">
        <v>52</v>
      </c>
      <c r="M363" s="17">
        <v>49.8</v>
      </c>
      <c r="O363" s="5"/>
      <c r="P363" s="12" t="s">
        <v>52</v>
      </c>
      <c r="Q363" s="18">
        <v>51.5</v>
      </c>
    </row>
    <row r="364" spans="11:17" x14ac:dyDescent="0.2">
      <c r="L364" t="s">
        <v>53</v>
      </c>
      <c r="M364" s="17" t="s">
        <v>66</v>
      </c>
      <c r="O364" s="5"/>
      <c r="P364" s="12" t="s">
        <v>53</v>
      </c>
      <c r="Q364" s="18" t="s">
        <v>66</v>
      </c>
    </row>
    <row r="365" spans="11:17" x14ac:dyDescent="0.2">
      <c r="L365" t="s">
        <v>54</v>
      </c>
      <c r="M365" s="17">
        <v>100</v>
      </c>
      <c r="O365" s="5"/>
      <c r="P365" s="12" t="s">
        <v>54</v>
      </c>
      <c r="Q365" s="18">
        <v>100</v>
      </c>
    </row>
    <row r="366" spans="11:17" x14ac:dyDescent="0.2">
      <c r="L366" t="s">
        <v>55</v>
      </c>
      <c r="M366" s="17">
        <v>32.299999999999997</v>
      </c>
      <c r="O366" s="5"/>
      <c r="P366" s="12" t="s">
        <v>55</v>
      </c>
      <c r="Q366" s="18">
        <v>49.4</v>
      </c>
    </row>
    <row r="367" spans="11:17" x14ac:dyDescent="0.2">
      <c r="L367" t="s">
        <v>56</v>
      </c>
      <c r="M367" s="17">
        <v>91.9</v>
      </c>
      <c r="O367" s="5"/>
      <c r="P367" s="12" t="s">
        <v>56</v>
      </c>
      <c r="Q367" s="18">
        <v>51.4</v>
      </c>
    </row>
    <row r="368" spans="11:17" x14ac:dyDescent="0.2">
      <c r="L368" t="s">
        <v>57</v>
      </c>
      <c r="M368" s="17">
        <v>38.1</v>
      </c>
      <c r="O368" s="5"/>
      <c r="P368" s="12" t="s">
        <v>57</v>
      </c>
      <c r="Q368" s="18">
        <v>48.3</v>
      </c>
    </row>
    <row r="369" spans="11:17" x14ac:dyDescent="0.2">
      <c r="L369" t="s">
        <v>58</v>
      </c>
      <c r="M369" s="17">
        <v>11.9</v>
      </c>
      <c r="O369" s="5"/>
      <c r="P369" s="12" t="s">
        <v>58</v>
      </c>
      <c r="Q369" s="18">
        <v>11.9</v>
      </c>
    </row>
    <row r="370" spans="11:17" x14ac:dyDescent="0.2">
      <c r="K370" s="5" t="s">
        <v>31</v>
      </c>
      <c r="L370" s="12" t="s">
        <v>49</v>
      </c>
      <c r="M370" s="18">
        <v>100</v>
      </c>
      <c r="O370" s="2" t="s">
        <v>38</v>
      </c>
      <c r="P370" t="s">
        <v>49</v>
      </c>
      <c r="Q370" s="17">
        <v>100</v>
      </c>
    </row>
    <row r="371" spans="11:17" x14ac:dyDescent="0.2">
      <c r="K371" s="5"/>
      <c r="L371" s="12" t="s">
        <v>50</v>
      </c>
      <c r="M371" s="18">
        <v>47.3</v>
      </c>
      <c r="O371" s="2"/>
      <c r="P371" t="s">
        <v>50</v>
      </c>
      <c r="Q371" s="17">
        <v>26.7</v>
      </c>
    </row>
    <row r="372" spans="11:17" x14ac:dyDescent="0.2">
      <c r="K372" s="5"/>
      <c r="L372" s="12" t="s">
        <v>51</v>
      </c>
      <c r="M372" s="18">
        <v>31.8</v>
      </c>
      <c r="O372" s="2"/>
      <c r="P372" t="s">
        <v>51</v>
      </c>
      <c r="Q372" s="17">
        <v>42.8</v>
      </c>
    </row>
    <row r="373" spans="11:17" x14ac:dyDescent="0.2">
      <c r="K373" s="5"/>
      <c r="L373" s="12" t="s">
        <v>52</v>
      </c>
      <c r="M373" s="18">
        <v>40.799999999999997</v>
      </c>
      <c r="O373" s="2"/>
      <c r="P373" t="s">
        <v>52</v>
      </c>
      <c r="Q373" s="17">
        <v>57.8</v>
      </c>
    </row>
    <row r="374" spans="11:17" x14ac:dyDescent="0.2">
      <c r="K374" s="5"/>
      <c r="L374" s="12" t="s">
        <v>53</v>
      </c>
      <c r="M374" s="18" t="s">
        <v>66</v>
      </c>
      <c r="O374" s="2"/>
      <c r="P374" t="s">
        <v>53</v>
      </c>
      <c r="Q374" s="17" t="s">
        <v>66</v>
      </c>
    </row>
    <row r="375" spans="11:17" x14ac:dyDescent="0.2">
      <c r="K375" s="5"/>
      <c r="L375" s="12" t="s">
        <v>54</v>
      </c>
      <c r="M375" s="18">
        <v>100</v>
      </c>
      <c r="O375" s="2"/>
      <c r="P375" t="s">
        <v>54</v>
      </c>
      <c r="Q375" s="17">
        <v>100</v>
      </c>
    </row>
    <row r="376" spans="11:17" x14ac:dyDescent="0.2">
      <c r="K376" s="5"/>
      <c r="L376" s="12" t="s">
        <v>55</v>
      </c>
      <c r="M376" s="18">
        <v>22.9</v>
      </c>
      <c r="O376" s="2"/>
      <c r="P376" t="s">
        <v>55</v>
      </c>
      <c r="Q376" s="17">
        <v>47.2</v>
      </c>
    </row>
    <row r="377" spans="11:17" x14ac:dyDescent="0.2">
      <c r="K377" s="5"/>
      <c r="L377" s="12" t="s">
        <v>56</v>
      </c>
      <c r="M377" s="18" t="s">
        <v>66</v>
      </c>
      <c r="O377" s="2"/>
      <c r="P377" t="s">
        <v>56</v>
      </c>
      <c r="Q377" s="17">
        <v>51.4</v>
      </c>
    </row>
    <row r="378" spans="11:17" x14ac:dyDescent="0.2">
      <c r="K378" s="5"/>
      <c r="L378" s="12" t="s">
        <v>57</v>
      </c>
      <c r="M378" s="18">
        <v>36.700000000000003</v>
      </c>
      <c r="O378" s="2"/>
      <c r="P378" t="s">
        <v>57</v>
      </c>
      <c r="Q378" s="17">
        <v>59.1</v>
      </c>
    </row>
    <row r="379" spans="11:17" x14ac:dyDescent="0.2">
      <c r="K379" s="5"/>
      <c r="L379" s="12" t="s">
        <v>58</v>
      </c>
      <c r="M379" s="18">
        <v>9.5</v>
      </c>
      <c r="O379" s="2"/>
      <c r="P379" t="s">
        <v>58</v>
      </c>
      <c r="Q379" s="17">
        <v>14.3</v>
      </c>
    </row>
    <row r="380" spans="11:17" x14ac:dyDescent="0.2">
      <c r="K380" s="2" t="s">
        <v>32</v>
      </c>
      <c r="L380" t="s">
        <v>49</v>
      </c>
      <c r="M380" s="17">
        <v>100</v>
      </c>
    </row>
    <row r="381" spans="11:17" x14ac:dyDescent="0.2">
      <c r="L381" t="s">
        <v>50</v>
      </c>
      <c r="M381" s="17">
        <v>50.7</v>
      </c>
    </row>
    <row r="382" spans="11:17" x14ac:dyDescent="0.2">
      <c r="L382" t="s">
        <v>51</v>
      </c>
      <c r="M382" s="17">
        <v>65.400000000000006</v>
      </c>
    </row>
    <row r="383" spans="11:17" x14ac:dyDescent="0.2">
      <c r="L383" t="s">
        <v>52</v>
      </c>
      <c r="M383" s="17">
        <v>61.8</v>
      </c>
    </row>
    <row r="384" spans="11:17" x14ac:dyDescent="0.2">
      <c r="L384" t="s">
        <v>53</v>
      </c>
      <c r="M384" s="17" t="s">
        <v>66</v>
      </c>
    </row>
    <row r="385" spans="12:13" x14ac:dyDescent="0.2">
      <c r="L385" t="s">
        <v>54</v>
      </c>
      <c r="M385" s="17">
        <v>100</v>
      </c>
    </row>
    <row r="386" spans="12:13" x14ac:dyDescent="0.2">
      <c r="L386" t="s">
        <v>55</v>
      </c>
      <c r="M386" s="17">
        <v>48.1</v>
      </c>
    </row>
    <row r="387" spans="12:13" x14ac:dyDescent="0.2">
      <c r="L387" t="s">
        <v>56</v>
      </c>
      <c r="M387" s="17">
        <v>51.4</v>
      </c>
    </row>
    <row r="388" spans="12:13" x14ac:dyDescent="0.2">
      <c r="L388" t="s">
        <v>57</v>
      </c>
      <c r="M388" s="17">
        <v>62.5</v>
      </c>
    </row>
    <row r="389" spans="12:13" x14ac:dyDescent="0.2">
      <c r="L389" t="s">
        <v>58</v>
      </c>
      <c r="M389" s="17">
        <v>52.4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J1:O220"/>
  <sheetViews>
    <sheetView topLeftCell="B190" zoomScale="85" zoomScaleNormal="85" workbookViewId="0">
      <selection activeCell="O218" sqref="O218"/>
    </sheetView>
  </sheetViews>
  <sheetFormatPr baseColWidth="10" defaultColWidth="8.83203125" defaultRowHeight="15" x14ac:dyDescent="0.2"/>
  <cols>
    <col min="1" max="10" width="11" customWidth="1"/>
    <col min="11" max="11" width="6" customWidth="1"/>
    <col min="12" max="12" width="19.5" bestFit="1" customWidth="1"/>
    <col min="13" max="13" width="9.1640625" style="11"/>
  </cols>
  <sheetData>
    <row r="1" spans="10:13" ht="16" x14ac:dyDescent="0.2">
      <c r="J1" s="1"/>
      <c r="K1" s="2"/>
      <c r="M1" s="23" t="s">
        <v>41</v>
      </c>
    </row>
    <row r="2" spans="10:13" x14ac:dyDescent="0.2">
      <c r="J2" s="1"/>
      <c r="K2" s="2">
        <v>13</v>
      </c>
      <c r="L2" t="s">
        <v>60</v>
      </c>
      <c r="M2" s="11">
        <f>2+1</f>
        <v>3</v>
      </c>
    </row>
    <row r="3" spans="10:13" x14ac:dyDescent="0.2">
      <c r="J3" s="1"/>
      <c r="K3" s="5"/>
      <c r="L3" s="12" t="s">
        <v>61</v>
      </c>
      <c r="M3" s="13">
        <f>2+4</f>
        <v>6</v>
      </c>
    </row>
    <row r="4" spans="10:13" x14ac:dyDescent="0.2">
      <c r="J4" s="1"/>
      <c r="K4" s="2">
        <v>14</v>
      </c>
      <c r="L4" t="s">
        <v>60</v>
      </c>
      <c r="M4" s="11">
        <f>7.1+2.4</f>
        <v>9.5</v>
      </c>
    </row>
    <row r="5" spans="10:13" x14ac:dyDescent="0.2">
      <c r="J5" s="1"/>
      <c r="K5" s="5"/>
      <c r="L5" s="12" t="s">
        <v>61</v>
      </c>
      <c r="M5" s="13">
        <f>11.7+6.3</f>
        <v>18</v>
      </c>
    </row>
    <row r="6" spans="10:13" ht="20.25" customHeight="1" x14ac:dyDescent="0.2">
      <c r="J6" s="1"/>
      <c r="K6" s="2"/>
    </row>
    <row r="7" spans="10:13" x14ac:dyDescent="0.2">
      <c r="J7" s="1"/>
      <c r="K7" s="2"/>
    </row>
    <row r="8" spans="10:13" x14ac:dyDescent="0.2">
      <c r="J8" s="1"/>
      <c r="K8" s="2"/>
    </row>
    <row r="9" spans="10:13" x14ac:dyDescent="0.2">
      <c r="J9" s="1"/>
      <c r="K9" s="2"/>
    </row>
    <row r="10" spans="10:13" x14ac:dyDescent="0.2">
      <c r="J10" s="1"/>
      <c r="K10" s="2"/>
    </row>
    <row r="11" spans="10:13" x14ac:dyDescent="0.2">
      <c r="J11" s="1"/>
      <c r="K11" s="2"/>
    </row>
    <row r="12" spans="10:13" x14ac:dyDescent="0.2">
      <c r="J12" s="1"/>
    </row>
    <row r="13" spans="10:13" x14ac:dyDescent="0.2">
      <c r="J13" s="1"/>
    </row>
    <row r="14" spans="10:13" x14ac:dyDescent="0.2">
      <c r="J14" s="1"/>
    </row>
    <row r="15" spans="10:13" x14ac:dyDescent="0.2">
      <c r="J15" s="1"/>
    </row>
    <row r="16" spans="10:13" x14ac:dyDescent="0.2">
      <c r="J16" s="1"/>
      <c r="K16" s="2" t="s">
        <v>0</v>
      </c>
      <c r="L16" t="s">
        <v>60</v>
      </c>
      <c r="M16" s="11">
        <v>24.5</v>
      </c>
    </row>
    <row r="17" spans="10:13" x14ac:dyDescent="0.2">
      <c r="J17" s="1"/>
      <c r="K17" s="5"/>
      <c r="L17" s="12" t="s">
        <v>61</v>
      </c>
      <c r="M17" s="13">
        <v>20.5</v>
      </c>
    </row>
    <row r="18" spans="10:13" x14ac:dyDescent="0.2">
      <c r="J18" s="1"/>
      <c r="K18" s="2">
        <v>20</v>
      </c>
      <c r="L18" t="s">
        <v>60</v>
      </c>
      <c r="M18" s="11">
        <v>24.9</v>
      </c>
    </row>
    <row r="19" spans="10:13" x14ac:dyDescent="0.2">
      <c r="J19" s="1"/>
      <c r="K19" s="5"/>
      <c r="L19" s="12" t="s">
        <v>61</v>
      </c>
      <c r="M19" s="13">
        <v>25.7</v>
      </c>
    </row>
    <row r="20" spans="10:13" x14ac:dyDescent="0.2">
      <c r="J20" s="1"/>
    </row>
    <row r="21" spans="10:13" x14ac:dyDescent="0.2">
      <c r="J21" s="1"/>
    </row>
    <row r="22" spans="10:13" x14ac:dyDescent="0.2">
      <c r="J22" s="1"/>
    </row>
    <row r="23" spans="10:13" x14ac:dyDescent="0.2">
      <c r="J23" s="1"/>
    </row>
    <row r="24" spans="10:13" x14ac:dyDescent="0.2">
      <c r="J24" s="1"/>
    </row>
    <row r="25" spans="10:13" x14ac:dyDescent="0.2">
      <c r="J25" s="1"/>
    </row>
    <row r="26" spans="10:13" x14ac:dyDescent="0.2">
      <c r="J26" s="1"/>
    </row>
    <row r="27" spans="10:13" x14ac:dyDescent="0.2">
      <c r="J27" s="1"/>
    </row>
    <row r="28" spans="10:13" x14ac:dyDescent="0.2">
      <c r="J28" s="1"/>
      <c r="K28" s="2" t="s">
        <v>1</v>
      </c>
      <c r="L28" t="s">
        <v>60</v>
      </c>
      <c r="M28" s="11">
        <f>2.3+23.9</f>
        <v>26.2</v>
      </c>
    </row>
    <row r="29" spans="10:13" x14ac:dyDescent="0.2">
      <c r="J29" s="1"/>
      <c r="K29" s="5"/>
      <c r="L29" s="12" t="s">
        <v>61</v>
      </c>
      <c r="M29" s="13">
        <f>3.9+17.1</f>
        <v>21</v>
      </c>
    </row>
    <row r="30" spans="10:13" x14ac:dyDescent="0.2">
      <c r="J30" s="1"/>
      <c r="K30" s="2" t="s">
        <v>2</v>
      </c>
      <c r="L30" t="s">
        <v>60</v>
      </c>
      <c r="M30" s="11">
        <f>6.3+20</f>
        <v>26.3</v>
      </c>
    </row>
    <row r="31" spans="10:13" x14ac:dyDescent="0.2">
      <c r="J31" s="1"/>
      <c r="K31" s="5"/>
      <c r="L31" s="12" t="s">
        <v>61</v>
      </c>
      <c r="M31" s="13">
        <f>2.4+13.8</f>
        <v>16.2</v>
      </c>
    </row>
    <row r="32" spans="10:13" x14ac:dyDescent="0.2">
      <c r="J32" s="1"/>
      <c r="K32" s="2" t="s">
        <v>3</v>
      </c>
      <c r="L32" t="s">
        <v>60</v>
      </c>
      <c r="M32" s="11">
        <f>15.3+27.5</f>
        <v>42.8</v>
      </c>
    </row>
    <row r="33" spans="10:13" x14ac:dyDescent="0.2">
      <c r="J33" s="1"/>
      <c r="K33" s="5"/>
      <c r="L33" s="12" t="s">
        <v>61</v>
      </c>
      <c r="M33" s="13">
        <f>9.8+17.8</f>
        <v>27.6</v>
      </c>
    </row>
    <row r="34" spans="10:13" x14ac:dyDescent="0.2">
      <c r="J34" s="1"/>
      <c r="K34" s="2" t="s">
        <v>4</v>
      </c>
      <c r="L34" t="s">
        <v>60</v>
      </c>
      <c r="M34" s="11">
        <f>39.8+32.8</f>
        <v>72.599999999999994</v>
      </c>
    </row>
    <row r="35" spans="10:13" x14ac:dyDescent="0.2">
      <c r="J35" s="1"/>
      <c r="K35" s="5"/>
      <c r="L35" s="12" t="s">
        <v>61</v>
      </c>
      <c r="M35" s="13">
        <f>26.9+42.6</f>
        <v>69.5</v>
      </c>
    </row>
    <row r="36" spans="10:13" x14ac:dyDescent="0.2">
      <c r="J36" s="1"/>
      <c r="K36" s="2" t="s">
        <v>5</v>
      </c>
      <c r="L36" t="s">
        <v>60</v>
      </c>
      <c r="M36" s="11">
        <f>24.6+38.1</f>
        <v>62.7</v>
      </c>
    </row>
    <row r="37" spans="10:13" x14ac:dyDescent="0.2">
      <c r="J37" s="1"/>
      <c r="K37" s="5"/>
      <c r="L37" s="12" t="s">
        <v>61</v>
      </c>
      <c r="M37" s="13">
        <f>14+40.7</f>
        <v>54.7</v>
      </c>
    </row>
    <row r="38" spans="10:13" x14ac:dyDescent="0.2">
      <c r="J38" s="1"/>
      <c r="K38" s="2" t="s">
        <v>6</v>
      </c>
      <c r="L38" t="s">
        <v>60</v>
      </c>
      <c r="M38" s="11">
        <v>55.7</v>
      </c>
    </row>
    <row r="39" spans="10:13" x14ac:dyDescent="0.2">
      <c r="J39" s="1"/>
      <c r="K39" s="5"/>
      <c r="L39" s="12" t="s">
        <v>61</v>
      </c>
      <c r="M39" s="13">
        <f>20.2+33</f>
        <v>53.2</v>
      </c>
    </row>
    <row r="40" spans="10:13" x14ac:dyDescent="0.2">
      <c r="J40" s="1"/>
      <c r="K40" s="2">
        <v>21</v>
      </c>
      <c r="L40" t="s">
        <v>60</v>
      </c>
      <c r="M40" s="11">
        <v>50.4</v>
      </c>
    </row>
    <row r="41" spans="10:13" x14ac:dyDescent="0.2">
      <c r="J41" s="1"/>
      <c r="K41" s="5"/>
      <c r="L41" s="12" t="s">
        <v>61</v>
      </c>
      <c r="M41" s="13">
        <v>41.7</v>
      </c>
    </row>
    <row r="42" spans="10:13" x14ac:dyDescent="0.2">
      <c r="J42" s="1"/>
      <c r="K42" s="2">
        <v>22</v>
      </c>
      <c r="L42" t="s">
        <v>60</v>
      </c>
      <c r="M42" s="11">
        <f>8.5+10.4+0.3+0.1</f>
        <v>19.3</v>
      </c>
    </row>
    <row r="43" spans="10:13" x14ac:dyDescent="0.2">
      <c r="J43" s="1"/>
      <c r="K43" s="5"/>
      <c r="L43" s="12" t="s">
        <v>61</v>
      </c>
      <c r="M43" s="13">
        <f>10.9+14.6+0.1+0.1</f>
        <v>25.700000000000003</v>
      </c>
    </row>
    <row r="44" spans="10:13" x14ac:dyDescent="0.2">
      <c r="J44" s="1"/>
      <c r="K44" s="2"/>
    </row>
    <row r="45" spans="10:13" x14ac:dyDescent="0.2">
      <c r="J45" s="1"/>
    </row>
    <row r="46" spans="10:13" x14ac:dyDescent="0.2">
      <c r="J46" s="1"/>
    </row>
    <row r="47" spans="10:13" x14ac:dyDescent="0.2">
      <c r="J47" s="1"/>
    </row>
    <row r="48" spans="10:13" x14ac:dyDescent="0.2">
      <c r="J48" s="1"/>
    </row>
    <row r="49" spans="10:13" x14ac:dyDescent="0.2">
      <c r="J49" s="1"/>
    </row>
    <row r="50" spans="10:13" x14ac:dyDescent="0.2">
      <c r="J50" s="1"/>
    </row>
    <row r="51" spans="10:13" x14ac:dyDescent="0.2">
      <c r="J51" s="1"/>
    </row>
    <row r="52" spans="10:13" x14ac:dyDescent="0.2">
      <c r="J52" s="1"/>
    </row>
    <row r="53" spans="10:13" x14ac:dyDescent="0.2">
      <c r="J53" s="1"/>
    </row>
    <row r="54" spans="10:13" x14ac:dyDescent="0.2">
      <c r="J54" s="1"/>
    </row>
    <row r="55" spans="10:13" x14ac:dyDescent="0.2">
      <c r="J55" s="1"/>
    </row>
    <row r="56" spans="10:13" x14ac:dyDescent="0.2">
      <c r="J56" s="1"/>
    </row>
    <row r="57" spans="10:13" x14ac:dyDescent="0.2">
      <c r="J57" s="1"/>
      <c r="K57" s="2" t="s">
        <v>7</v>
      </c>
      <c r="L57" t="s">
        <v>60</v>
      </c>
      <c r="M57" s="11">
        <f>2.1+43.2</f>
        <v>45.300000000000004</v>
      </c>
    </row>
    <row r="58" spans="10:13" x14ac:dyDescent="0.2">
      <c r="J58" s="1"/>
      <c r="K58" s="5"/>
      <c r="L58" s="12" t="s">
        <v>61</v>
      </c>
      <c r="M58" s="13">
        <f>0.2+43</f>
        <v>43.2</v>
      </c>
    </row>
    <row r="59" spans="10:13" x14ac:dyDescent="0.2">
      <c r="J59" s="1"/>
      <c r="K59" s="2" t="s">
        <v>8</v>
      </c>
      <c r="L59" t="s">
        <v>60</v>
      </c>
      <c r="M59" s="11">
        <v>29.1</v>
      </c>
    </row>
    <row r="60" spans="10:13" x14ac:dyDescent="0.2">
      <c r="J60" s="1"/>
      <c r="K60" s="5"/>
      <c r="L60" s="12" t="s">
        <v>61</v>
      </c>
      <c r="M60" s="13">
        <v>23.3</v>
      </c>
    </row>
    <row r="61" spans="10:13" x14ac:dyDescent="0.2">
      <c r="J61" s="1"/>
      <c r="K61" s="2" t="s">
        <v>9</v>
      </c>
      <c r="L61" t="s">
        <v>60</v>
      </c>
      <c r="M61" s="11">
        <f>85.4+9.7</f>
        <v>95.100000000000009</v>
      </c>
    </row>
    <row r="62" spans="10:13" x14ac:dyDescent="0.2">
      <c r="J62" s="1"/>
      <c r="K62" s="5"/>
      <c r="L62" s="12" t="s">
        <v>61</v>
      </c>
      <c r="M62" s="13">
        <f>86.8+8.8</f>
        <v>95.6</v>
      </c>
    </row>
    <row r="63" spans="10:13" x14ac:dyDescent="0.2">
      <c r="J63" s="1"/>
      <c r="K63" s="2" t="s">
        <v>10</v>
      </c>
      <c r="L63" t="s">
        <v>60</v>
      </c>
      <c r="M63" s="11">
        <v>11.5</v>
      </c>
    </row>
    <row r="64" spans="10:13" x14ac:dyDescent="0.2">
      <c r="J64" s="1"/>
      <c r="K64" s="5"/>
      <c r="L64" s="12" t="s">
        <v>61</v>
      </c>
      <c r="M64" s="13">
        <v>18.100000000000001</v>
      </c>
    </row>
    <row r="65" spans="10:13" x14ac:dyDescent="0.2">
      <c r="J65" s="1"/>
      <c r="K65" s="2" t="s">
        <v>11</v>
      </c>
      <c r="L65" t="s">
        <v>60</v>
      </c>
      <c r="M65" s="11">
        <f>12.2+8.4+0.3+4</f>
        <v>24.900000000000002</v>
      </c>
    </row>
    <row r="66" spans="10:13" x14ac:dyDescent="0.2">
      <c r="J66" s="1"/>
      <c r="K66" s="5"/>
      <c r="L66" s="12" t="s">
        <v>61</v>
      </c>
      <c r="M66" s="13">
        <f>20.3+5.2+0.3+3.6</f>
        <v>29.400000000000002</v>
      </c>
    </row>
    <row r="67" spans="10:13" x14ac:dyDescent="0.2">
      <c r="J67" s="1"/>
      <c r="K67" s="2" t="s">
        <v>12</v>
      </c>
      <c r="L67" t="s">
        <v>60</v>
      </c>
      <c r="M67" s="11">
        <f>16.6+24.6</f>
        <v>41.2</v>
      </c>
    </row>
    <row r="68" spans="10:13" x14ac:dyDescent="0.2">
      <c r="J68" s="1"/>
      <c r="K68" s="5"/>
      <c r="L68" s="12" t="s">
        <v>61</v>
      </c>
      <c r="M68" s="13">
        <f>28.9+23.8</f>
        <v>52.7</v>
      </c>
    </row>
    <row r="69" spans="10:13" x14ac:dyDescent="0.2">
      <c r="J69" s="1"/>
      <c r="K69" s="2" t="s">
        <v>13</v>
      </c>
      <c r="L69" t="s">
        <v>60</v>
      </c>
      <c r="M69" s="11">
        <f>12.5+17.5</f>
        <v>30</v>
      </c>
    </row>
    <row r="70" spans="10:13" x14ac:dyDescent="0.2">
      <c r="J70" s="1"/>
      <c r="K70" s="5"/>
      <c r="L70" s="12" t="s">
        <v>61</v>
      </c>
      <c r="M70" s="13">
        <f>27.1+11.8</f>
        <v>38.900000000000006</v>
      </c>
    </row>
    <row r="71" spans="10:13" x14ac:dyDescent="0.2">
      <c r="J71" s="1"/>
      <c r="K71" s="2" t="s">
        <v>14</v>
      </c>
      <c r="L71" t="s">
        <v>60</v>
      </c>
      <c r="M71" s="11">
        <f>9.6+10.7</f>
        <v>20.299999999999997</v>
      </c>
    </row>
    <row r="72" spans="10:13" x14ac:dyDescent="0.2">
      <c r="J72" s="1"/>
      <c r="K72" s="5"/>
      <c r="L72" s="12" t="s">
        <v>61</v>
      </c>
      <c r="M72" s="13">
        <f>10.9+10.6</f>
        <v>21.5</v>
      </c>
    </row>
    <row r="73" spans="10:13" x14ac:dyDescent="0.2">
      <c r="J73" s="1"/>
      <c r="K73" s="2" t="s">
        <v>15</v>
      </c>
      <c r="L73" t="s">
        <v>60</v>
      </c>
      <c r="M73" s="11">
        <f>17.3+31</f>
        <v>48.3</v>
      </c>
    </row>
    <row r="74" spans="10:13" x14ac:dyDescent="0.2">
      <c r="J74" s="1"/>
      <c r="K74" s="5"/>
      <c r="L74" s="12" t="s">
        <v>61</v>
      </c>
      <c r="M74" s="13">
        <f>19.4+32.7</f>
        <v>52.1</v>
      </c>
    </row>
    <row r="75" spans="10:13" x14ac:dyDescent="0.2">
      <c r="J75" s="1"/>
      <c r="K75" s="2" t="s">
        <v>16</v>
      </c>
      <c r="L75" t="s">
        <v>60</v>
      </c>
      <c r="M75" s="11">
        <f>14.8+33.3</f>
        <v>48.099999999999994</v>
      </c>
    </row>
    <row r="76" spans="10:13" x14ac:dyDescent="0.2">
      <c r="J76" s="1"/>
      <c r="K76" s="5"/>
      <c r="L76" s="12" t="s">
        <v>61</v>
      </c>
      <c r="M76" s="13">
        <f>23.5+38.4</f>
        <v>61.9</v>
      </c>
    </row>
    <row r="77" spans="10:13" x14ac:dyDescent="0.2">
      <c r="J77" s="1"/>
      <c r="K77" s="2"/>
    </row>
    <row r="78" spans="10:13" x14ac:dyDescent="0.2">
      <c r="J78" s="1"/>
      <c r="K78" s="2"/>
    </row>
    <row r="79" spans="10:13" x14ac:dyDescent="0.2">
      <c r="J79" s="1"/>
      <c r="K79" s="2"/>
    </row>
    <row r="81" spans="10:13" x14ac:dyDescent="0.2">
      <c r="J81" s="1"/>
    </row>
    <row r="82" spans="10:13" x14ac:dyDescent="0.2">
      <c r="J82" s="1"/>
    </row>
    <row r="83" spans="10:13" x14ac:dyDescent="0.2">
      <c r="J83" s="1"/>
    </row>
    <row r="84" spans="10:13" x14ac:dyDescent="0.2">
      <c r="J84" s="1"/>
    </row>
    <row r="85" spans="10:13" x14ac:dyDescent="0.2">
      <c r="J85" s="1"/>
    </row>
    <row r="86" spans="10:13" x14ac:dyDescent="0.2">
      <c r="J86" s="1"/>
    </row>
    <row r="87" spans="10:13" x14ac:dyDescent="0.2">
      <c r="J87" s="1"/>
    </row>
    <row r="88" spans="10:13" x14ac:dyDescent="0.2">
      <c r="J88" s="1"/>
      <c r="K88" s="2" t="s">
        <v>17</v>
      </c>
      <c r="L88" t="s">
        <v>60</v>
      </c>
      <c r="M88" s="11">
        <v>36.700000000000003</v>
      </c>
    </row>
    <row r="89" spans="10:13" x14ac:dyDescent="0.2">
      <c r="J89" s="1"/>
      <c r="K89" s="5"/>
      <c r="L89" s="12" t="s">
        <v>61</v>
      </c>
      <c r="M89" s="13">
        <v>45.4</v>
      </c>
    </row>
    <row r="90" spans="10:13" x14ac:dyDescent="0.2">
      <c r="J90" s="1"/>
      <c r="K90" s="2" t="s">
        <v>18</v>
      </c>
      <c r="L90" t="s">
        <v>60</v>
      </c>
      <c r="M90" s="11">
        <v>36.200000000000003</v>
      </c>
    </row>
    <row r="91" spans="10:13" x14ac:dyDescent="0.2">
      <c r="J91" s="1"/>
      <c r="K91" s="5"/>
      <c r="L91" s="12" t="s">
        <v>61</v>
      </c>
      <c r="M91" s="13">
        <v>25.3</v>
      </c>
    </row>
    <row r="92" spans="10:13" x14ac:dyDescent="0.2">
      <c r="J92" s="1"/>
      <c r="K92" s="2" t="s">
        <v>19</v>
      </c>
      <c r="L92" t="s">
        <v>60</v>
      </c>
      <c r="M92" s="11">
        <v>3.4</v>
      </c>
    </row>
    <row r="93" spans="10:13" x14ac:dyDescent="0.2">
      <c r="J93" s="1"/>
      <c r="K93" s="5"/>
      <c r="L93" s="12" t="s">
        <v>61</v>
      </c>
      <c r="M93" s="13">
        <v>8.8000000000000007</v>
      </c>
    </row>
    <row r="94" spans="10:13" x14ac:dyDescent="0.2">
      <c r="J94" s="1"/>
      <c r="K94" s="2" t="s">
        <v>20</v>
      </c>
      <c r="L94" t="s">
        <v>60</v>
      </c>
      <c r="M94" s="11">
        <v>17.100000000000001</v>
      </c>
    </row>
    <row r="95" spans="10:13" x14ac:dyDescent="0.2">
      <c r="J95" s="1"/>
      <c r="K95" s="5"/>
      <c r="L95" s="12" t="s">
        <v>61</v>
      </c>
      <c r="M95" s="13">
        <v>15.1</v>
      </c>
    </row>
    <row r="96" spans="10:13" x14ac:dyDescent="0.2">
      <c r="J96" s="1"/>
      <c r="K96" s="2" t="s">
        <v>21</v>
      </c>
      <c r="L96" t="s">
        <v>60</v>
      </c>
      <c r="M96" s="11">
        <v>21.3</v>
      </c>
    </row>
    <row r="97" spans="10:15" x14ac:dyDescent="0.2">
      <c r="J97" s="1"/>
      <c r="K97" s="5"/>
      <c r="L97" s="12" t="s">
        <v>61</v>
      </c>
      <c r="M97" s="13">
        <v>25</v>
      </c>
    </row>
    <row r="98" spans="10:15" x14ac:dyDescent="0.2">
      <c r="J98" s="1"/>
      <c r="K98" s="2" t="s">
        <v>22</v>
      </c>
      <c r="L98" t="s">
        <v>60</v>
      </c>
      <c r="M98" s="11">
        <v>5.6</v>
      </c>
    </row>
    <row r="99" spans="10:15" x14ac:dyDescent="0.2">
      <c r="J99" s="1"/>
      <c r="K99" s="5"/>
      <c r="L99" s="12" t="s">
        <v>61</v>
      </c>
      <c r="M99" s="13">
        <v>7.8</v>
      </c>
    </row>
    <row r="100" spans="10:15" x14ac:dyDescent="0.2">
      <c r="J100" s="1"/>
      <c r="K100" s="2" t="s">
        <v>23</v>
      </c>
      <c r="L100" t="s">
        <v>60</v>
      </c>
      <c r="M100" s="11">
        <v>4.8</v>
      </c>
    </row>
    <row r="101" spans="10:15" x14ac:dyDescent="0.2">
      <c r="J101" s="1"/>
      <c r="K101" s="5"/>
      <c r="L101" s="12" t="s">
        <v>61</v>
      </c>
      <c r="M101" s="13">
        <v>4.9000000000000004</v>
      </c>
    </row>
    <row r="102" spans="10:15" x14ac:dyDescent="0.2">
      <c r="J102" s="1"/>
      <c r="K102" s="2" t="s">
        <v>24</v>
      </c>
      <c r="L102" t="s">
        <v>60</v>
      </c>
      <c r="M102" s="11">
        <v>2.5</v>
      </c>
    </row>
    <row r="103" spans="10:15" x14ac:dyDescent="0.2">
      <c r="J103" s="1"/>
      <c r="K103" s="5"/>
      <c r="L103" s="12" t="s">
        <v>61</v>
      </c>
      <c r="M103" s="13">
        <v>11.2</v>
      </c>
    </row>
    <row r="104" spans="10:15" x14ac:dyDescent="0.2">
      <c r="J104" s="1"/>
    </row>
    <row r="105" spans="10:15" x14ac:dyDescent="0.2">
      <c r="J105" s="1"/>
    </row>
    <row r="106" spans="10:15" x14ac:dyDescent="0.2">
      <c r="J106" s="1"/>
      <c r="K106" s="2"/>
    </row>
    <row r="108" spans="10:15" x14ac:dyDescent="0.2">
      <c r="J108" s="1"/>
    </row>
    <row r="109" spans="10:15" x14ac:dyDescent="0.2">
      <c r="J109" s="1"/>
    </row>
    <row r="110" spans="10:15" x14ac:dyDescent="0.2">
      <c r="J110" s="1"/>
      <c r="O110" s="15"/>
    </row>
    <row r="111" spans="10:15" x14ac:dyDescent="0.2">
      <c r="J111" s="1"/>
    </row>
    <row r="112" spans="10:15" x14ac:dyDescent="0.2">
      <c r="J112" s="1"/>
    </row>
    <row r="113" spans="10:14" x14ac:dyDescent="0.2">
      <c r="J113" s="1"/>
    </row>
    <row r="114" spans="10:14" x14ac:dyDescent="0.2">
      <c r="J114" s="1"/>
    </row>
    <row r="115" spans="10:14" x14ac:dyDescent="0.2">
      <c r="J115" s="1"/>
      <c r="K115" s="2" t="s">
        <v>26</v>
      </c>
      <c r="L115" t="s">
        <v>60</v>
      </c>
      <c r="M115" s="11">
        <v>8</v>
      </c>
      <c r="N115" s="10" t="s">
        <v>25</v>
      </c>
    </row>
    <row r="116" spans="10:14" x14ac:dyDescent="0.2">
      <c r="J116" s="1"/>
      <c r="K116" s="5"/>
      <c r="L116" s="12" t="s">
        <v>61</v>
      </c>
      <c r="M116" s="13">
        <v>18.2</v>
      </c>
    </row>
    <row r="117" spans="10:14" x14ac:dyDescent="0.2">
      <c r="J117" s="1"/>
      <c r="K117" s="2" t="s">
        <v>27</v>
      </c>
      <c r="L117" t="s">
        <v>60</v>
      </c>
      <c r="M117" s="11">
        <v>60.1</v>
      </c>
    </row>
    <row r="118" spans="10:14" x14ac:dyDescent="0.2">
      <c r="J118" s="1"/>
      <c r="K118" s="5"/>
      <c r="L118" s="12" t="s">
        <v>61</v>
      </c>
      <c r="M118" s="13">
        <v>65.099999999999994</v>
      </c>
    </row>
    <row r="119" spans="10:14" x14ac:dyDescent="0.2">
      <c r="J119" s="1"/>
      <c r="K119" s="2" t="s">
        <v>28</v>
      </c>
      <c r="L119" t="s">
        <v>60</v>
      </c>
      <c r="M119" s="11">
        <v>93</v>
      </c>
    </row>
    <row r="120" spans="10:14" x14ac:dyDescent="0.2">
      <c r="J120" s="1"/>
      <c r="K120" s="5"/>
      <c r="L120" s="12" t="s">
        <v>61</v>
      </c>
      <c r="M120" s="13">
        <v>91.5</v>
      </c>
    </row>
    <row r="121" spans="10:14" x14ac:dyDescent="0.2">
      <c r="J121" s="1"/>
      <c r="K121" s="2" t="s">
        <v>29</v>
      </c>
      <c r="L121" t="s">
        <v>60</v>
      </c>
      <c r="M121" s="11">
        <v>61.7</v>
      </c>
    </row>
    <row r="122" spans="10:14" x14ac:dyDescent="0.2">
      <c r="J122" s="1"/>
      <c r="K122" s="5"/>
      <c r="L122" s="12" t="s">
        <v>61</v>
      </c>
      <c r="M122" s="13">
        <v>66.599999999999994</v>
      </c>
    </row>
    <row r="123" spans="10:14" x14ac:dyDescent="0.2">
      <c r="J123" s="1"/>
      <c r="K123" s="2" t="s">
        <v>30</v>
      </c>
      <c r="L123" t="s">
        <v>60</v>
      </c>
      <c r="M123" s="11">
        <v>55</v>
      </c>
    </row>
    <row r="124" spans="10:14" x14ac:dyDescent="0.2">
      <c r="J124" s="1"/>
      <c r="K124" s="5"/>
      <c r="L124" s="12" t="s">
        <v>61</v>
      </c>
      <c r="M124" s="13">
        <v>53.9</v>
      </c>
    </row>
    <row r="125" spans="10:14" x14ac:dyDescent="0.2">
      <c r="J125" s="1"/>
      <c r="K125" s="2" t="s">
        <v>31</v>
      </c>
      <c r="L125" t="s">
        <v>60</v>
      </c>
      <c r="M125" s="11">
        <f>0.2+1.2</f>
        <v>1.4</v>
      </c>
    </row>
    <row r="126" spans="10:14" x14ac:dyDescent="0.2">
      <c r="J126" s="1"/>
      <c r="K126" s="5"/>
      <c r="L126" s="12" t="s">
        <v>61</v>
      </c>
      <c r="M126" s="13">
        <f>0.2+2.1+2.1</f>
        <v>4.4000000000000004</v>
      </c>
    </row>
    <row r="127" spans="10:14" x14ac:dyDescent="0.2">
      <c r="J127" s="1"/>
      <c r="K127" s="2" t="s">
        <v>32</v>
      </c>
      <c r="L127" t="s">
        <v>60</v>
      </c>
      <c r="M127" s="11">
        <v>53.6</v>
      </c>
    </row>
    <row r="128" spans="10:14" x14ac:dyDescent="0.2">
      <c r="J128" s="1"/>
      <c r="K128" s="5"/>
      <c r="L128" s="12" t="s">
        <v>61</v>
      </c>
      <c r="M128" s="13">
        <v>51.7</v>
      </c>
    </row>
    <row r="129" spans="10:13" x14ac:dyDescent="0.2">
      <c r="J129" s="1"/>
      <c r="K129" s="2" t="s">
        <v>33</v>
      </c>
      <c r="L129" t="s">
        <v>60</v>
      </c>
      <c r="M129" s="11">
        <v>34.5</v>
      </c>
    </row>
    <row r="130" spans="10:13" x14ac:dyDescent="0.2">
      <c r="J130" s="1"/>
      <c r="K130" s="5"/>
      <c r="L130" s="12" t="s">
        <v>61</v>
      </c>
      <c r="M130" s="13">
        <v>44</v>
      </c>
    </row>
    <row r="131" spans="10:13" x14ac:dyDescent="0.2">
      <c r="J131" s="1"/>
      <c r="K131" s="2" t="s">
        <v>34</v>
      </c>
      <c r="L131" t="s">
        <v>60</v>
      </c>
      <c r="M131" s="11">
        <v>79.400000000000006</v>
      </c>
    </row>
    <row r="132" spans="10:13" x14ac:dyDescent="0.2">
      <c r="J132" s="1"/>
      <c r="K132" s="5"/>
      <c r="L132" s="12" t="s">
        <v>61</v>
      </c>
      <c r="M132" s="13">
        <v>77.3</v>
      </c>
    </row>
    <row r="133" spans="10:13" x14ac:dyDescent="0.2">
      <c r="J133" s="1"/>
      <c r="K133" s="2" t="s">
        <v>35</v>
      </c>
      <c r="L133" t="s">
        <v>60</v>
      </c>
      <c r="M133" s="11">
        <v>51</v>
      </c>
    </row>
    <row r="134" spans="10:13" x14ac:dyDescent="0.2">
      <c r="K134" s="5"/>
      <c r="L134" s="12" t="s">
        <v>61</v>
      </c>
      <c r="M134" s="13">
        <v>55.3</v>
      </c>
    </row>
    <row r="135" spans="10:13" x14ac:dyDescent="0.2">
      <c r="J135" s="1"/>
      <c r="K135" s="2" t="s">
        <v>36</v>
      </c>
      <c r="L135" t="s">
        <v>60</v>
      </c>
      <c r="M135" s="11">
        <v>22.4</v>
      </c>
    </row>
    <row r="136" spans="10:13" x14ac:dyDescent="0.2">
      <c r="J136" s="1"/>
      <c r="K136" s="5"/>
      <c r="L136" s="12" t="s">
        <v>61</v>
      </c>
      <c r="M136" s="13">
        <v>21.9</v>
      </c>
    </row>
    <row r="137" spans="10:13" x14ac:dyDescent="0.2">
      <c r="J137" s="1"/>
      <c r="K137" s="2" t="s">
        <v>37</v>
      </c>
      <c r="L137" t="s">
        <v>60</v>
      </c>
      <c r="M137" s="11">
        <f>4.1+5.1+4.2</f>
        <v>13.399999999999999</v>
      </c>
    </row>
    <row r="138" spans="10:13" x14ac:dyDescent="0.2">
      <c r="J138" s="1"/>
      <c r="K138" s="5"/>
      <c r="L138" s="12" t="s">
        <v>61</v>
      </c>
      <c r="M138" s="13">
        <f>4.6+2.3+2.2</f>
        <v>9.1</v>
      </c>
    </row>
    <row r="139" spans="10:13" x14ac:dyDescent="0.2">
      <c r="J139" s="1"/>
      <c r="K139" s="2" t="s">
        <v>38</v>
      </c>
      <c r="L139" t="s">
        <v>60</v>
      </c>
      <c r="M139" s="11">
        <f>1.5+10.6+4.9</f>
        <v>17</v>
      </c>
    </row>
    <row r="140" spans="10:13" x14ac:dyDescent="0.2">
      <c r="J140" s="1"/>
      <c r="K140" s="5"/>
      <c r="L140" s="12" t="s">
        <v>61</v>
      </c>
      <c r="M140" s="13">
        <f>2.4+12.7+5.1</f>
        <v>20.2</v>
      </c>
    </row>
    <row r="141" spans="10:13" x14ac:dyDescent="0.2">
      <c r="J141" s="1"/>
    </row>
    <row r="142" spans="10:13" x14ac:dyDescent="0.2">
      <c r="J142" s="1"/>
    </row>
    <row r="143" spans="10:13" x14ac:dyDescent="0.2">
      <c r="J143" s="1"/>
    </row>
    <row r="144" spans="10:13" x14ac:dyDescent="0.2">
      <c r="J144" s="1"/>
    </row>
    <row r="145" spans="10:14" x14ac:dyDescent="0.2">
      <c r="J145" s="1"/>
    </row>
    <row r="146" spans="10:14" x14ac:dyDescent="0.2">
      <c r="J146" s="1"/>
    </row>
    <row r="147" spans="10:14" x14ac:dyDescent="0.2">
      <c r="J147" s="1"/>
    </row>
    <row r="148" spans="10:14" x14ac:dyDescent="0.2">
      <c r="J148" s="1"/>
    </row>
    <row r="149" spans="10:14" x14ac:dyDescent="0.2">
      <c r="J149" s="1"/>
    </row>
    <row r="150" spans="10:14" x14ac:dyDescent="0.2">
      <c r="J150" s="1"/>
    </row>
    <row r="151" spans="10:14" x14ac:dyDescent="0.2">
      <c r="J151" s="1"/>
    </row>
    <row r="152" spans="10:14" x14ac:dyDescent="0.2">
      <c r="J152" s="1"/>
    </row>
    <row r="153" spans="10:14" x14ac:dyDescent="0.2">
      <c r="J153" s="1"/>
    </row>
    <row r="154" spans="10:14" x14ac:dyDescent="0.2">
      <c r="J154" s="1"/>
    </row>
    <row r="155" spans="10:14" x14ac:dyDescent="0.2">
      <c r="J155" s="1"/>
      <c r="K155" s="2" t="s">
        <v>26</v>
      </c>
      <c r="L155" t="s">
        <v>60</v>
      </c>
      <c r="M155" s="11">
        <v>5.9</v>
      </c>
      <c r="N155" s="10" t="s">
        <v>39</v>
      </c>
    </row>
    <row r="156" spans="10:14" x14ac:dyDescent="0.2">
      <c r="J156" s="1"/>
      <c r="K156" s="5"/>
      <c r="L156" s="12" t="s">
        <v>61</v>
      </c>
      <c r="M156" s="13">
        <v>4</v>
      </c>
    </row>
    <row r="157" spans="10:14" x14ac:dyDescent="0.2">
      <c r="J157" s="1"/>
      <c r="K157" s="2" t="s">
        <v>27</v>
      </c>
      <c r="L157" t="s">
        <v>60</v>
      </c>
      <c r="M157" s="11">
        <v>4.9000000000000004</v>
      </c>
    </row>
    <row r="158" spans="10:14" x14ac:dyDescent="0.2">
      <c r="J158" s="1"/>
      <c r="K158" s="5"/>
      <c r="L158" s="12" t="s">
        <v>61</v>
      </c>
      <c r="M158" s="13">
        <v>9.6999999999999993</v>
      </c>
    </row>
    <row r="159" spans="10:14" x14ac:dyDescent="0.2">
      <c r="J159" s="1"/>
      <c r="K159" s="2" t="s">
        <v>28</v>
      </c>
      <c r="L159" t="s">
        <v>60</v>
      </c>
      <c r="M159" s="11">
        <v>6.8</v>
      </c>
    </row>
    <row r="160" spans="10:14" x14ac:dyDescent="0.2">
      <c r="K160" s="5"/>
      <c r="L160" s="12" t="s">
        <v>61</v>
      </c>
      <c r="M160" s="13">
        <v>6.4</v>
      </c>
    </row>
    <row r="161" spans="11:13" x14ac:dyDescent="0.2">
      <c r="K161" s="2" t="s">
        <v>29</v>
      </c>
      <c r="L161" t="s">
        <v>60</v>
      </c>
      <c r="M161" s="11">
        <v>7.9</v>
      </c>
    </row>
    <row r="162" spans="11:13" x14ac:dyDescent="0.2">
      <c r="K162" s="5"/>
      <c r="L162" s="12" t="s">
        <v>61</v>
      </c>
      <c r="M162" s="13">
        <v>6.3</v>
      </c>
    </row>
    <row r="163" spans="11:13" x14ac:dyDescent="0.2">
      <c r="K163" s="2" t="s">
        <v>30</v>
      </c>
      <c r="L163" t="s">
        <v>60</v>
      </c>
      <c r="M163" s="11">
        <v>6.6</v>
      </c>
    </row>
    <row r="164" spans="11:13" x14ac:dyDescent="0.2">
      <c r="K164" s="5"/>
      <c r="L164" s="12" t="s">
        <v>61</v>
      </c>
      <c r="M164" s="13">
        <v>6.4</v>
      </c>
    </row>
    <row r="165" spans="11:13" x14ac:dyDescent="0.2">
      <c r="K165" s="2" t="s">
        <v>31</v>
      </c>
      <c r="L165" t="s">
        <v>60</v>
      </c>
      <c r="M165" s="11">
        <v>4.8</v>
      </c>
    </row>
    <row r="166" spans="11:13" x14ac:dyDescent="0.2">
      <c r="K166" s="5"/>
      <c r="L166" s="12" t="s">
        <v>61</v>
      </c>
      <c r="M166" s="13">
        <v>4.5999999999999996</v>
      </c>
    </row>
    <row r="167" spans="11:13" x14ac:dyDescent="0.2">
      <c r="K167" s="2" t="s">
        <v>32</v>
      </c>
      <c r="L167" t="s">
        <v>60</v>
      </c>
      <c r="M167" s="11">
        <v>8</v>
      </c>
    </row>
    <row r="168" spans="11:13" x14ac:dyDescent="0.2">
      <c r="K168" s="5"/>
      <c r="L168" s="12" t="s">
        <v>61</v>
      </c>
      <c r="M168" s="13">
        <v>10.3</v>
      </c>
    </row>
    <row r="169" spans="11:13" x14ac:dyDescent="0.2">
      <c r="K169" s="2" t="s">
        <v>33</v>
      </c>
      <c r="L169" t="s">
        <v>60</v>
      </c>
      <c r="M169" s="11">
        <v>3.4</v>
      </c>
    </row>
    <row r="170" spans="11:13" x14ac:dyDescent="0.2">
      <c r="K170" s="5"/>
      <c r="L170" s="12" t="s">
        <v>61</v>
      </c>
      <c r="M170" s="13">
        <v>3</v>
      </c>
    </row>
    <row r="171" spans="11:13" x14ac:dyDescent="0.2">
      <c r="K171" s="2" t="s">
        <v>34</v>
      </c>
      <c r="L171" t="s">
        <v>60</v>
      </c>
      <c r="M171" s="11">
        <v>4.7</v>
      </c>
    </row>
    <row r="172" spans="11:13" x14ac:dyDescent="0.2">
      <c r="K172" s="5"/>
      <c r="L172" s="12" t="s">
        <v>61</v>
      </c>
      <c r="M172" s="13">
        <v>6.8</v>
      </c>
    </row>
    <row r="173" spans="11:13" x14ac:dyDescent="0.2">
      <c r="K173" s="2" t="s">
        <v>35</v>
      </c>
      <c r="L173" t="s">
        <v>60</v>
      </c>
      <c r="M173" s="11">
        <v>4.9000000000000004</v>
      </c>
    </row>
    <row r="174" spans="11:13" x14ac:dyDescent="0.2">
      <c r="K174" s="5"/>
      <c r="L174" s="12" t="s">
        <v>61</v>
      </c>
      <c r="M174" s="13">
        <v>3.3</v>
      </c>
    </row>
    <row r="175" spans="11:13" x14ac:dyDescent="0.2">
      <c r="K175" s="2" t="s">
        <v>36</v>
      </c>
      <c r="L175" t="s">
        <v>60</v>
      </c>
      <c r="M175" s="11">
        <v>7.8</v>
      </c>
    </row>
    <row r="176" spans="11:13" x14ac:dyDescent="0.2">
      <c r="K176" s="5"/>
      <c r="L176" s="12" t="s">
        <v>61</v>
      </c>
      <c r="M176" s="13">
        <v>0.7</v>
      </c>
    </row>
    <row r="177" spans="11:13" x14ac:dyDescent="0.2">
      <c r="K177" s="2" t="s">
        <v>37</v>
      </c>
      <c r="L177" t="s">
        <v>60</v>
      </c>
      <c r="M177" s="11">
        <v>7.9</v>
      </c>
    </row>
    <row r="178" spans="11:13" x14ac:dyDescent="0.2">
      <c r="K178" s="5"/>
      <c r="L178" s="12" t="s">
        <v>61</v>
      </c>
      <c r="M178" s="13">
        <v>6.5</v>
      </c>
    </row>
    <row r="179" spans="11:13" x14ac:dyDescent="0.2">
      <c r="K179" s="2" t="s">
        <v>38</v>
      </c>
      <c r="L179" t="s">
        <v>60</v>
      </c>
      <c r="M179" s="11">
        <v>6.7</v>
      </c>
    </row>
    <row r="180" spans="11:13" x14ac:dyDescent="0.2">
      <c r="K180" s="5"/>
      <c r="L180" s="12" t="s">
        <v>61</v>
      </c>
      <c r="M180" s="13">
        <v>4.5999999999999996</v>
      </c>
    </row>
    <row r="195" spans="11:14" x14ac:dyDescent="0.2">
      <c r="K195" s="2" t="s">
        <v>26</v>
      </c>
      <c r="L195" t="s">
        <v>60</v>
      </c>
      <c r="M195" s="11">
        <v>76.8</v>
      </c>
      <c r="N195" s="10" t="s">
        <v>40</v>
      </c>
    </row>
    <row r="196" spans="11:14" x14ac:dyDescent="0.2">
      <c r="K196" s="5"/>
      <c r="L196" s="12" t="s">
        <v>61</v>
      </c>
      <c r="M196" s="13">
        <v>65.599999999999994</v>
      </c>
    </row>
    <row r="197" spans="11:14" x14ac:dyDescent="0.2">
      <c r="K197" s="2" t="s">
        <v>27</v>
      </c>
      <c r="L197" t="s">
        <v>60</v>
      </c>
      <c r="M197" s="11">
        <v>49.4</v>
      </c>
    </row>
    <row r="198" spans="11:14" x14ac:dyDescent="0.2">
      <c r="K198" s="5"/>
      <c r="L198" s="12" t="s">
        <v>61</v>
      </c>
      <c r="M198" s="13">
        <v>47.8</v>
      </c>
    </row>
    <row r="199" spans="11:14" x14ac:dyDescent="0.2">
      <c r="K199" s="2" t="s">
        <v>28</v>
      </c>
      <c r="L199" t="s">
        <v>60</v>
      </c>
      <c r="M199" s="11">
        <v>27.7</v>
      </c>
    </row>
    <row r="200" spans="11:14" x14ac:dyDescent="0.2">
      <c r="K200" s="5"/>
      <c r="L200" s="12" t="s">
        <v>61</v>
      </c>
      <c r="M200" s="13">
        <v>40.9</v>
      </c>
    </row>
    <row r="201" spans="11:14" x14ac:dyDescent="0.2">
      <c r="K201" s="2" t="s">
        <v>29</v>
      </c>
      <c r="L201" t="s">
        <v>60</v>
      </c>
      <c r="M201" s="11">
        <v>44.8</v>
      </c>
    </row>
    <row r="202" spans="11:14" x14ac:dyDescent="0.2">
      <c r="K202" s="5"/>
      <c r="L202" s="12" t="s">
        <v>61</v>
      </c>
      <c r="M202" s="13">
        <v>44</v>
      </c>
    </row>
    <row r="203" spans="11:14" x14ac:dyDescent="0.2">
      <c r="K203" s="2" t="s">
        <v>30</v>
      </c>
      <c r="L203" t="s">
        <v>60</v>
      </c>
      <c r="M203" s="11">
        <v>45.8</v>
      </c>
    </row>
    <row r="204" spans="11:14" x14ac:dyDescent="0.2">
      <c r="K204" s="5"/>
      <c r="L204" s="12" t="s">
        <v>61</v>
      </c>
      <c r="M204" s="13">
        <v>41.6</v>
      </c>
    </row>
    <row r="205" spans="11:14" x14ac:dyDescent="0.2">
      <c r="K205" s="2" t="s">
        <v>31</v>
      </c>
      <c r="L205" t="s">
        <v>60</v>
      </c>
      <c r="M205" s="11">
        <v>30.5</v>
      </c>
    </row>
    <row r="206" spans="11:14" x14ac:dyDescent="0.2">
      <c r="K206" s="5"/>
      <c r="L206" s="12" t="s">
        <v>61</v>
      </c>
      <c r="M206" s="13">
        <v>43.6</v>
      </c>
    </row>
    <row r="207" spans="11:14" x14ac:dyDescent="0.2">
      <c r="K207" s="2" t="s">
        <v>32</v>
      </c>
      <c r="L207" t="s">
        <v>60</v>
      </c>
      <c r="M207" s="11">
        <v>57.8</v>
      </c>
    </row>
    <row r="208" spans="11:14" x14ac:dyDescent="0.2">
      <c r="K208" s="5"/>
      <c r="L208" s="12" t="s">
        <v>61</v>
      </c>
      <c r="M208" s="13">
        <v>61.8</v>
      </c>
    </row>
    <row r="209" spans="11:13" x14ac:dyDescent="0.2">
      <c r="K209" s="2" t="s">
        <v>33</v>
      </c>
      <c r="L209" t="s">
        <v>60</v>
      </c>
      <c r="M209" s="11">
        <v>47.9</v>
      </c>
    </row>
    <row r="210" spans="11:13" x14ac:dyDescent="0.2">
      <c r="K210" s="5"/>
      <c r="L210" s="12" t="s">
        <v>61</v>
      </c>
      <c r="M210" s="13">
        <v>42.6</v>
      </c>
    </row>
    <row r="211" spans="11:13" x14ac:dyDescent="0.2">
      <c r="K211" s="2" t="s">
        <v>34</v>
      </c>
      <c r="L211" t="s">
        <v>60</v>
      </c>
      <c r="M211" s="11">
        <v>28.3</v>
      </c>
    </row>
    <row r="212" spans="11:13" x14ac:dyDescent="0.2">
      <c r="K212" s="5"/>
      <c r="L212" s="12" t="s">
        <v>61</v>
      </c>
      <c r="M212" s="13">
        <v>28.8</v>
      </c>
    </row>
    <row r="213" spans="11:13" x14ac:dyDescent="0.2">
      <c r="K213" s="2" t="s">
        <v>35</v>
      </c>
      <c r="L213" t="s">
        <v>60</v>
      </c>
      <c r="M213" s="11">
        <v>64.099999999999994</v>
      </c>
    </row>
    <row r="214" spans="11:13" x14ac:dyDescent="0.2">
      <c r="K214" s="5"/>
      <c r="L214" s="12" t="s">
        <v>61</v>
      </c>
      <c r="M214" s="13">
        <v>58.1</v>
      </c>
    </row>
    <row r="215" spans="11:13" x14ac:dyDescent="0.2">
      <c r="K215" s="2" t="s">
        <v>36</v>
      </c>
      <c r="L215" t="s">
        <v>60</v>
      </c>
      <c r="M215" s="11">
        <v>61.9</v>
      </c>
    </row>
    <row r="216" spans="11:13" x14ac:dyDescent="0.2">
      <c r="K216" s="5"/>
      <c r="L216" s="12" t="s">
        <v>61</v>
      </c>
      <c r="M216" s="13">
        <v>77.599999999999994</v>
      </c>
    </row>
    <row r="217" spans="11:13" x14ac:dyDescent="0.2">
      <c r="K217" s="2" t="s">
        <v>37</v>
      </c>
      <c r="L217" t="s">
        <v>60</v>
      </c>
      <c r="M217" s="11">
        <v>49.7</v>
      </c>
    </row>
    <row r="218" spans="11:13" x14ac:dyDescent="0.2">
      <c r="K218" s="5"/>
      <c r="L218" s="12" t="s">
        <v>61</v>
      </c>
      <c r="M218" s="13">
        <v>46.2</v>
      </c>
    </row>
    <row r="219" spans="11:13" x14ac:dyDescent="0.2">
      <c r="K219" s="2" t="s">
        <v>38</v>
      </c>
      <c r="L219" t="s">
        <v>60</v>
      </c>
      <c r="M219" s="11">
        <v>46.5</v>
      </c>
    </row>
    <row r="220" spans="11:13" x14ac:dyDescent="0.2">
      <c r="K220" s="5"/>
      <c r="L220" s="12" t="s">
        <v>61</v>
      </c>
      <c r="M220" s="13">
        <v>64.7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J1:Q230"/>
  <sheetViews>
    <sheetView topLeftCell="E87" zoomScale="90" zoomScaleNormal="90" workbookViewId="0">
      <selection activeCell="Q65" sqref="Q65"/>
    </sheetView>
  </sheetViews>
  <sheetFormatPr baseColWidth="10" defaultColWidth="8.83203125" defaultRowHeight="15" x14ac:dyDescent="0.2"/>
  <cols>
    <col min="1" max="8" width="10.6640625" customWidth="1"/>
    <col min="9" max="9" width="12.5" customWidth="1"/>
    <col min="10" max="10" width="7.1640625" bestFit="1" customWidth="1"/>
    <col min="11" max="11" width="6.1640625" style="2" customWidth="1"/>
    <col min="12" max="12" width="20.6640625" bestFit="1" customWidth="1"/>
    <col min="13" max="13" width="6.5" style="17" customWidth="1"/>
    <col min="14" max="14" width="4" style="20" customWidth="1"/>
    <col min="16" max="16" width="20.6640625" bestFit="1" customWidth="1"/>
    <col min="17" max="17" width="6.5" customWidth="1"/>
  </cols>
  <sheetData>
    <row r="1" spans="11:14" ht="16" x14ac:dyDescent="0.2">
      <c r="M1" s="24" t="s">
        <v>41</v>
      </c>
    </row>
    <row r="2" spans="11:14" x14ac:dyDescent="0.2">
      <c r="K2" s="2">
        <v>13</v>
      </c>
      <c r="L2" t="s">
        <v>62</v>
      </c>
      <c r="M2" s="17">
        <f>1.4+1.8</f>
        <v>3.2</v>
      </c>
    </row>
    <row r="3" spans="11:14" x14ac:dyDescent="0.2">
      <c r="L3" t="s">
        <v>63</v>
      </c>
      <c r="M3" s="17">
        <f>2.6+2.4</f>
        <v>5</v>
      </c>
    </row>
    <row r="4" spans="11:14" x14ac:dyDescent="0.2">
      <c r="L4" t="s">
        <v>56</v>
      </c>
      <c r="M4" s="17" t="s">
        <v>66</v>
      </c>
    </row>
    <row r="5" spans="11:14" x14ac:dyDescent="0.2">
      <c r="L5" t="s">
        <v>64</v>
      </c>
      <c r="M5" s="17" t="s">
        <v>66</v>
      </c>
    </row>
    <row r="6" spans="11:14" x14ac:dyDescent="0.2">
      <c r="K6" s="5">
        <v>14</v>
      </c>
      <c r="L6" s="12" t="s">
        <v>62</v>
      </c>
      <c r="M6" s="18">
        <f>8.7+5</f>
        <v>13.7</v>
      </c>
    </row>
    <row r="7" spans="11:14" x14ac:dyDescent="0.2">
      <c r="K7" s="5"/>
      <c r="L7" s="12" t="s">
        <v>63</v>
      </c>
      <c r="M7" s="18">
        <f>9.3+2.8</f>
        <v>12.100000000000001</v>
      </c>
    </row>
    <row r="8" spans="11:14" x14ac:dyDescent="0.2">
      <c r="K8" s="5"/>
      <c r="L8" s="12" t="s">
        <v>56</v>
      </c>
      <c r="M8" s="18" t="s">
        <v>66</v>
      </c>
    </row>
    <row r="9" spans="11:14" x14ac:dyDescent="0.2">
      <c r="K9" s="5"/>
      <c r="L9" s="12" t="s">
        <v>64</v>
      </c>
      <c r="M9" s="18">
        <v>5</v>
      </c>
    </row>
    <row r="11" spans="11:14" s="15" customFormat="1" x14ac:dyDescent="0.2">
      <c r="K11" s="14"/>
      <c r="M11" s="22"/>
      <c r="N11" s="21"/>
    </row>
    <row r="12" spans="11:14" s="15" customFormat="1" x14ac:dyDescent="0.2">
      <c r="K12" s="14"/>
      <c r="M12" s="22"/>
      <c r="N12" s="21"/>
    </row>
    <row r="16" spans="11:14" x14ac:dyDescent="0.2">
      <c r="K16" s="2" t="s">
        <v>0</v>
      </c>
      <c r="L16" t="s">
        <v>62</v>
      </c>
      <c r="M16" s="17">
        <v>27.7</v>
      </c>
    </row>
    <row r="17" spans="11:17" x14ac:dyDescent="0.2">
      <c r="L17" t="s">
        <v>63</v>
      </c>
      <c r="M17" s="17">
        <v>20.100000000000001</v>
      </c>
    </row>
    <row r="18" spans="11:17" x14ac:dyDescent="0.2">
      <c r="L18" t="s">
        <v>56</v>
      </c>
      <c r="M18" s="17" t="s">
        <v>66</v>
      </c>
    </row>
    <row r="19" spans="11:17" x14ac:dyDescent="0.2">
      <c r="L19" t="s">
        <v>64</v>
      </c>
      <c r="M19" s="17">
        <v>90</v>
      </c>
    </row>
    <row r="20" spans="11:17" x14ac:dyDescent="0.2">
      <c r="K20" s="5">
        <v>20</v>
      </c>
      <c r="L20" s="12" t="s">
        <v>62</v>
      </c>
      <c r="M20" s="18">
        <v>22.7</v>
      </c>
    </row>
    <row r="21" spans="11:17" x14ac:dyDescent="0.2">
      <c r="K21" s="5"/>
      <c r="L21" s="12" t="s">
        <v>63</v>
      </c>
      <c r="M21" s="18">
        <v>27.5</v>
      </c>
    </row>
    <row r="22" spans="11:17" x14ac:dyDescent="0.2">
      <c r="K22" s="5"/>
      <c r="L22" s="12" t="s">
        <v>56</v>
      </c>
      <c r="M22" s="18" t="s">
        <v>66</v>
      </c>
    </row>
    <row r="23" spans="11:17" x14ac:dyDescent="0.2">
      <c r="K23" s="5"/>
      <c r="L23" s="12" t="s">
        <v>64</v>
      </c>
      <c r="M23" s="18">
        <v>90</v>
      </c>
    </row>
    <row r="28" spans="11:17" x14ac:dyDescent="0.2">
      <c r="K28" s="2" t="s">
        <v>1</v>
      </c>
      <c r="L28" t="s">
        <v>62</v>
      </c>
      <c r="M28" s="17">
        <f>1.9+19.3</f>
        <v>21.2</v>
      </c>
      <c r="O28" s="2">
        <v>21</v>
      </c>
      <c r="P28" t="s">
        <v>62</v>
      </c>
      <c r="Q28" s="17">
        <v>44.6</v>
      </c>
    </row>
    <row r="29" spans="11:17" x14ac:dyDescent="0.2">
      <c r="L29" t="s">
        <v>63</v>
      </c>
      <c r="M29" s="17">
        <f>2.8+24.1</f>
        <v>26.900000000000002</v>
      </c>
      <c r="O29" s="2"/>
      <c r="P29" t="s">
        <v>63</v>
      </c>
      <c r="Q29" s="17">
        <v>50.4</v>
      </c>
    </row>
    <row r="30" spans="11:17" x14ac:dyDescent="0.2">
      <c r="L30" t="s">
        <v>56</v>
      </c>
      <c r="M30" s="17">
        <v>50</v>
      </c>
      <c r="O30" s="2"/>
      <c r="P30" t="s">
        <v>56</v>
      </c>
      <c r="Q30" s="17" t="s">
        <v>66</v>
      </c>
    </row>
    <row r="31" spans="11:17" x14ac:dyDescent="0.2">
      <c r="L31" t="s">
        <v>64</v>
      </c>
      <c r="M31" s="17">
        <f>85+5</f>
        <v>90</v>
      </c>
      <c r="O31" s="2"/>
      <c r="P31" t="s">
        <v>64</v>
      </c>
      <c r="Q31" s="17">
        <v>100</v>
      </c>
    </row>
    <row r="32" spans="11:17" x14ac:dyDescent="0.2">
      <c r="K32" s="5" t="s">
        <v>2</v>
      </c>
      <c r="L32" s="12" t="s">
        <v>62</v>
      </c>
      <c r="M32" s="18">
        <f>5.1+14.2</f>
        <v>19.299999999999997</v>
      </c>
      <c r="O32" s="5">
        <v>22</v>
      </c>
      <c r="P32" s="12" t="s">
        <v>62</v>
      </c>
      <c r="Q32" s="18">
        <f>8.9+9.3+0.1+0.1</f>
        <v>18.400000000000006</v>
      </c>
    </row>
    <row r="33" spans="11:17" x14ac:dyDescent="0.2">
      <c r="K33" s="5"/>
      <c r="L33" s="12" t="s">
        <v>63</v>
      </c>
      <c r="M33" s="18">
        <f>4.1+22.3</f>
        <v>26.4</v>
      </c>
      <c r="O33" s="5"/>
      <c r="P33" s="12" t="s">
        <v>63</v>
      </c>
      <c r="Q33" s="18">
        <f>10.2+12+0.3+0.1</f>
        <v>22.6</v>
      </c>
    </row>
    <row r="34" spans="11:17" x14ac:dyDescent="0.2">
      <c r="K34" s="5"/>
      <c r="L34" s="12" t="s">
        <v>56</v>
      </c>
      <c r="M34" s="18">
        <v>50</v>
      </c>
      <c r="O34" s="5"/>
      <c r="P34" s="12" t="s">
        <v>56</v>
      </c>
      <c r="Q34" s="18" t="s">
        <v>66</v>
      </c>
    </row>
    <row r="35" spans="11:17" x14ac:dyDescent="0.2">
      <c r="K35" s="5"/>
      <c r="L35" s="12" t="s">
        <v>64</v>
      </c>
      <c r="M35" s="18">
        <f>85+5</f>
        <v>90</v>
      </c>
      <c r="O35" s="5"/>
      <c r="P35" s="12" t="s">
        <v>64</v>
      </c>
      <c r="Q35" s="18">
        <f>5+5</f>
        <v>10</v>
      </c>
    </row>
    <row r="36" spans="11:17" x14ac:dyDescent="0.2">
      <c r="K36" s="2" t="s">
        <v>3</v>
      </c>
      <c r="L36" t="s">
        <v>62</v>
      </c>
      <c r="M36" s="17">
        <f>14.7+27.4</f>
        <v>42.099999999999994</v>
      </c>
    </row>
    <row r="37" spans="11:17" x14ac:dyDescent="0.2">
      <c r="L37" t="s">
        <v>63</v>
      </c>
      <c r="M37" s="17">
        <f>12.9+23.6</f>
        <v>36.5</v>
      </c>
    </row>
    <row r="38" spans="11:17" x14ac:dyDescent="0.2">
      <c r="L38" t="s">
        <v>56</v>
      </c>
      <c r="M38" s="17">
        <v>50</v>
      </c>
    </row>
    <row r="39" spans="11:17" x14ac:dyDescent="0.2">
      <c r="L39" t="s">
        <v>64</v>
      </c>
      <c r="M39" s="17">
        <v>90</v>
      </c>
    </row>
    <row r="40" spans="11:17" x14ac:dyDescent="0.2">
      <c r="K40" s="5" t="s">
        <v>4</v>
      </c>
      <c r="L40" s="12" t="s">
        <v>62</v>
      </c>
      <c r="M40" s="18">
        <f>31.1+40.8</f>
        <v>71.900000000000006</v>
      </c>
    </row>
    <row r="41" spans="11:17" x14ac:dyDescent="0.2">
      <c r="K41" s="5"/>
      <c r="L41" s="12" t="s">
        <v>63</v>
      </c>
      <c r="M41" s="18">
        <f>40.1+32.9</f>
        <v>73</v>
      </c>
    </row>
    <row r="42" spans="11:17" x14ac:dyDescent="0.2">
      <c r="K42" s="5"/>
      <c r="L42" s="12" t="s">
        <v>56</v>
      </c>
      <c r="M42" s="18">
        <f>50+50</f>
        <v>100</v>
      </c>
    </row>
    <row r="43" spans="11:17" x14ac:dyDescent="0.2">
      <c r="K43" s="5"/>
      <c r="L43" s="12" t="s">
        <v>64</v>
      </c>
      <c r="M43" s="18">
        <v>90</v>
      </c>
    </row>
    <row r="44" spans="11:17" x14ac:dyDescent="0.2">
      <c r="K44" s="2" t="s">
        <v>5</v>
      </c>
      <c r="L44" t="s">
        <v>62</v>
      </c>
      <c r="M44" s="17">
        <f>17.6+37.3</f>
        <v>54.9</v>
      </c>
    </row>
    <row r="45" spans="11:17" x14ac:dyDescent="0.2">
      <c r="L45" t="s">
        <v>63</v>
      </c>
      <c r="M45" s="17">
        <f>24.1+41.2</f>
        <v>65.300000000000011</v>
      </c>
    </row>
    <row r="46" spans="11:17" x14ac:dyDescent="0.2">
      <c r="L46" t="s">
        <v>56</v>
      </c>
      <c r="M46" s="17">
        <f>50+50</f>
        <v>100</v>
      </c>
      <c r="O46" s="15"/>
    </row>
    <row r="47" spans="11:17" x14ac:dyDescent="0.2">
      <c r="L47" t="s">
        <v>64</v>
      </c>
      <c r="M47" s="17">
        <v>90</v>
      </c>
    </row>
    <row r="48" spans="11:17" x14ac:dyDescent="0.2">
      <c r="K48" s="5" t="s">
        <v>6</v>
      </c>
      <c r="L48" s="12" t="s">
        <v>62</v>
      </c>
      <c r="M48" s="18">
        <f>19.2+29.1</f>
        <v>48.3</v>
      </c>
    </row>
    <row r="49" spans="11:17" x14ac:dyDescent="0.2">
      <c r="K49" s="5"/>
      <c r="L49" s="12" t="s">
        <v>63</v>
      </c>
      <c r="M49" s="18">
        <f>26.3+32.5</f>
        <v>58.8</v>
      </c>
    </row>
    <row r="50" spans="11:17" x14ac:dyDescent="0.2">
      <c r="K50" s="5"/>
      <c r="L50" s="12" t="s">
        <v>56</v>
      </c>
      <c r="M50" s="18">
        <v>50</v>
      </c>
    </row>
    <row r="51" spans="11:17" x14ac:dyDescent="0.2">
      <c r="K51" s="5"/>
      <c r="L51" s="12" t="s">
        <v>64</v>
      </c>
      <c r="M51" s="18">
        <v>90</v>
      </c>
    </row>
    <row r="58" spans="11:17" x14ac:dyDescent="0.2">
      <c r="K58" s="2" t="s">
        <v>7</v>
      </c>
      <c r="L58" t="s">
        <v>62</v>
      </c>
      <c r="M58" s="17">
        <f>0.2+39.5</f>
        <v>39.700000000000003</v>
      </c>
      <c r="O58" s="5" t="s">
        <v>12</v>
      </c>
      <c r="P58" s="12" t="s">
        <v>62</v>
      </c>
      <c r="Q58" s="18">
        <f>18.7+20</f>
        <v>38.700000000000003</v>
      </c>
    </row>
    <row r="59" spans="11:17" x14ac:dyDescent="0.2">
      <c r="L59" t="s">
        <v>63</v>
      </c>
      <c r="M59" s="17">
        <f>2.6+45.2</f>
        <v>47.800000000000004</v>
      </c>
      <c r="O59" s="5"/>
      <c r="P59" s="12" t="s">
        <v>63</v>
      </c>
      <c r="Q59" s="18">
        <f>20+29.5</f>
        <v>49.5</v>
      </c>
    </row>
    <row r="60" spans="11:17" x14ac:dyDescent="0.2">
      <c r="L60" t="s">
        <v>56</v>
      </c>
      <c r="M60" s="17">
        <v>50</v>
      </c>
      <c r="O60" s="5"/>
      <c r="P60" s="12" t="s">
        <v>56</v>
      </c>
      <c r="Q60" s="18" t="s">
        <v>66</v>
      </c>
    </row>
    <row r="61" spans="11:17" x14ac:dyDescent="0.2">
      <c r="L61" t="s">
        <v>64</v>
      </c>
      <c r="M61" s="17">
        <v>90</v>
      </c>
      <c r="O61" s="5"/>
      <c r="P61" s="12" t="s">
        <v>64</v>
      </c>
      <c r="Q61" s="18" t="s">
        <v>66</v>
      </c>
    </row>
    <row r="62" spans="11:17" x14ac:dyDescent="0.2">
      <c r="K62" s="5" t="s">
        <v>8</v>
      </c>
      <c r="L62" s="12" t="s">
        <v>62</v>
      </c>
      <c r="M62" s="18">
        <v>26.5</v>
      </c>
      <c r="O62" s="2" t="s">
        <v>13</v>
      </c>
      <c r="P62" t="s">
        <v>62</v>
      </c>
      <c r="Q62" s="17">
        <f>15.3+10.1</f>
        <v>25.4</v>
      </c>
    </row>
    <row r="63" spans="11:17" x14ac:dyDescent="0.2">
      <c r="K63" s="5"/>
      <c r="L63" s="12" t="s">
        <v>63</v>
      </c>
      <c r="M63" s="18">
        <v>28.8</v>
      </c>
      <c r="O63" s="2"/>
      <c r="P63" t="s">
        <v>63</v>
      </c>
      <c r="Q63" s="17">
        <f>17.6+20</f>
        <v>37.6</v>
      </c>
    </row>
    <row r="64" spans="11:17" x14ac:dyDescent="0.2">
      <c r="K64" s="5"/>
      <c r="L64" s="12" t="s">
        <v>56</v>
      </c>
      <c r="M64" s="18">
        <v>50</v>
      </c>
      <c r="O64" s="2"/>
      <c r="P64" t="s">
        <v>56</v>
      </c>
      <c r="Q64" s="17">
        <v>50</v>
      </c>
    </row>
    <row r="65" spans="11:17" x14ac:dyDescent="0.2">
      <c r="K65" s="5"/>
      <c r="L65" s="12" t="s">
        <v>64</v>
      </c>
      <c r="M65" s="18">
        <v>95</v>
      </c>
      <c r="O65" s="2"/>
      <c r="P65" t="s">
        <v>64</v>
      </c>
      <c r="Q65" s="17" t="s">
        <v>66</v>
      </c>
    </row>
    <row r="66" spans="11:17" x14ac:dyDescent="0.2">
      <c r="K66" s="2" t="s">
        <v>9</v>
      </c>
      <c r="L66" t="s">
        <v>62</v>
      </c>
      <c r="M66" s="17">
        <f>85.7+9.1</f>
        <v>94.8</v>
      </c>
      <c r="O66" s="5" t="s">
        <v>14</v>
      </c>
      <c r="P66" s="12" t="s">
        <v>62</v>
      </c>
      <c r="Q66" s="18">
        <f>10.7+11</f>
        <v>21.7</v>
      </c>
    </row>
    <row r="67" spans="11:17" x14ac:dyDescent="0.2">
      <c r="L67" t="s">
        <v>63</v>
      </c>
      <c r="M67" s="17">
        <f>85.5+9.7</f>
        <v>95.2</v>
      </c>
      <c r="O67" s="5"/>
      <c r="P67" s="12" t="s">
        <v>63</v>
      </c>
      <c r="Q67" s="18">
        <f>10+9.5</f>
        <v>19.5</v>
      </c>
    </row>
    <row r="68" spans="11:17" x14ac:dyDescent="0.2">
      <c r="L68" t="s">
        <v>56</v>
      </c>
      <c r="M68" s="17">
        <f>50+50</f>
        <v>100</v>
      </c>
      <c r="O68" s="5"/>
      <c r="P68" s="12" t="s">
        <v>56</v>
      </c>
      <c r="Q68" s="18" t="s">
        <v>66</v>
      </c>
    </row>
    <row r="69" spans="11:17" x14ac:dyDescent="0.2">
      <c r="L69" t="s">
        <v>64</v>
      </c>
      <c r="M69" s="17">
        <v>90</v>
      </c>
      <c r="O69" s="5"/>
      <c r="P69" s="12" t="s">
        <v>64</v>
      </c>
      <c r="Q69" s="18">
        <f>5+5</f>
        <v>10</v>
      </c>
    </row>
    <row r="70" spans="11:17" x14ac:dyDescent="0.2">
      <c r="K70" s="5" t="s">
        <v>10</v>
      </c>
      <c r="L70" s="12" t="s">
        <v>62</v>
      </c>
      <c r="M70" s="18">
        <v>13.8</v>
      </c>
      <c r="O70" s="2" t="s">
        <v>15</v>
      </c>
      <c r="P70" t="s">
        <v>62</v>
      </c>
      <c r="Q70" s="17">
        <f>17.6+22.8</f>
        <v>40.400000000000006</v>
      </c>
    </row>
    <row r="71" spans="11:17" x14ac:dyDescent="0.2">
      <c r="K71" s="5"/>
      <c r="L71" s="12" t="s">
        <v>63</v>
      </c>
      <c r="M71" s="18">
        <v>15</v>
      </c>
      <c r="O71" s="2"/>
      <c r="P71" t="s">
        <v>63</v>
      </c>
      <c r="Q71" s="17">
        <f>18+38.2</f>
        <v>56.2</v>
      </c>
    </row>
    <row r="72" spans="11:17" x14ac:dyDescent="0.2">
      <c r="K72" s="5"/>
      <c r="L72" s="12" t="s">
        <v>56</v>
      </c>
      <c r="M72" s="18" t="s">
        <v>66</v>
      </c>
      <c r="O72" s="2"/>
      <c r="P72" t="s">
        <v>56</v>
      </c>
      <c r="Q72" s="17">
        <f>50+50</f>
        <v>100</v>
      </c>
    </row>
    <row r="73" spans="11:17" x14ac:dyDescent="0.2">
      <c r="K73" s="5"/>
      <c r="L73" s="12" t="s">
        <v>64</v>
      </c>
      <c r="M73" s="18" t="s">
        <v>66</v>
      </c>
      <c r="O73" s="2"/>
      <c r="P73" t="s">
        <v>64</v>
      </c>
      <c r="Q73" s="17">
        <v>5</v>
      </c>
    </row>
    <row r="74" spans="11:17" x14ac:dyDescent="0.2">
      <c r="K74" s="2" t="s">
        <v>11</v>
      </c>
      <c r="L74" t="s">
        <v>62</v>
      </c>
      <c r="M74" s="17">
        <f>15.4+4.9+0.3+3.3</f>
        <v>23.900000000000002</v>
      </c>
      <c r="O74" s="5" t="s">
        <v>16</v>
      </c>
      <c r="P74" s="12" t="s">
        <v>62</v>
      </c>
      <c r="Q74" s="18">
        <f>20.6+36.1</f>
        <v>56.7</v>
      </c>
    </row>
    <row r="75" spans="11:17" x14ac:dyDescent="0.2">
      <c r="L75" t="s">
        <v>63</v>
      </c>
      <c r="M75" s="17">
        <f>14.6+9.2+0.4+5</f>
        <v>29.199999999999996</v>
      </c>
      <c r="O75" s="5"/>
      <c r="P75" s="12" t="s">
        <v>63</v>
      </c>
      <c r="Q75" s="18">
        <f>16.2+35.1</f>
        <v>51.3</v>
      </c>
    </row>
    <row r="76" spans="11:17" x14ac:dyDescent="0.2">
      <c r="L76" t="s">
        <v>56</v>
      </c>
      <c r="M76" s="17" t="s">
        <v>66</v>
      </c>
      <c r="O76" s="5"/>
      <c r="P76" s="12" t="s">
        <v>56</v>
      </c>
      <c r="Q76" s="18">
        <f>50+50</f>
        <v>100</v>
      </c>
    </row>
    <row r="77" spans="11:17" x14ac:dyDescent="0.2">
      <c r="L77" t="s">
        <v>64</v>
      </c>
      <c r="M77" s="17">
        <f>5+5</f>
        <v>10</v>
      </c>
      <c r="O77" s="5"/>
      <c r="P77" s="12" t="s">
        <v>64</v>
      </c>
      <c r="Q77" s="18" t="s">
        <v>66</v>
      </c>
    </row>
    <row r="88" spans="11:17" x14ac:dyDescent="0.2">
      <c r="K88" s="2" t="s">
        <v>17</v>
      </c>
      <c r="L88" t="s">
        <v>62</v>
      </c>
      <c r="M88" s="17">
        <v>37.4</v>
      </c>
      <c r="O88" s="2" t="s">
        <v>23</v>
      </c>
      <c r="P88" t="s">
        <v>62</v>
      </c>
      <c r="Q88" s="17">
        <v>4.0999999999999996</v>
      </c>
    </row>
    <row r="89" spans="11:17" x14ac:dyDescent="0.2">
      <c r="L89" t="s">
        <v>63</v>
      </c>
      <c r="M89" s="17">
        <v>41.2</v>
      </c>
      <c r="O89" s="2"/>
      <c r="P89" t="s">
        <v>63</v>
      </c>
      <c r="Q89" s="17">
        <v>5.7</v>
      </c>
    </row>
    <row r="90" spans="11:17" x14ac:dyDescent="0.2">
      <c r="L90" t="s">
        <v>56</v>
      </c>
      <c r="M90" s="17">
        <v>100</v>
      </c>
      <c r="O90" s="2"/>
      <c r="P90" t="s">
        <v>56</v>
      </c>
      <c r="Q90" s="17" t="s">
        <v>66</v>
      </c>
    </row>
    <row r="91" spans="11:17" x14ac:dyDescent="0.2">
      <c r="L91" t="s">
        <v>64</v>
      </c>
      <c r="M91" s="17">
        <v>10</v>
      </c>
      <c r="O91" s="2"/>
      <c r="P91" t="s">
        <v>64</v>
      </c>
      <c r="Q91" s="17" t="s">
        <v>66</v>
      </c>
    </row>
    <row r="92" spans="11:17" x14ac:dyDescent="0.2">
      <c r="K92" s="5" t="s">
        <v>18</v>
      </c>
      <c r="L92" s="12" t="s">
        <v>62</v>
      </c>
      <c r="M92" s="18">
        <v>31.8</v>
      </c>
      <c r="O92" s="5" t="s">
        <v>24</v>
      </c>
      <c r="P92" s="12" t="s">
        <v>62</v>
      </c>
      <c r="Q92" s="18">
        <v>3.8</v>
      </c>
    </row>
    <row r="93" spans="11:17" x14ac:dyDescent="0.2">
      <c r="K93" s="5"/>
      <c r="L93" s="12" t="s">
        <v>63</v>
      </c>
      <c r="M93" s="18">
        <v>33.4</v>
      </c>
      <c r="O93" s="5"/>
      <c r="P93" s="12" t="s">
        <v>63</v>
      </c>
      <c r="Q93" s="18">
        <v>6.7</v>
      </c>
    </row>
    <row r="94" spans="11:17" x14ac:dyDescent="0.2">
      <c r="K94" s="5"/>
      <c r="L94" s="12" t="s">
        <v>56</v>
      </c>
      <c r="M94" s="18" t="s">
        <v>66</v>
      </c>
      <c r="O94" s="5"/>
      <c r="P94" s="12" t="s">
        <v>56</v>
      </c>
      <c r="Q94" s="18" t="s">
        <v>66</v>
      </c>
    </row>
    <row r="95" spans="11:17" x14ac:dyDescent="0.2">
      <c r="K95" s="5"/>
      <c r="L95" s="12" t="s">
        <v>64</v>
      </c>
      <c r="M95" s="18">
        <v>5.3</v>
      </c>
      <c r="O95" s="5"/>
      <c r="P95" s="12" t="s">
        <v>64</v>
      </c>
      <c r="Q95" s="18" t="s">
        <v>66</v>
      </c>
    </row>
    <row r="96" spans="11:17" x14ac:dyDescent="0.2">
      <c r="K96" s="2" t="s">
        <v>19</v>
      </c>
      <c r="L96" t="s">
        <v>62</v>
      </c>
      <c r="M96" s="17">
        <v>9.4</v>
      </c>
    </row>
    <row r="97" spans="11:13" x14ac:dyDescent="0.2">
      <c r="L97" t="s">
        <v>63</v>
      </c>
      <c r="M97" s="17">
        <v>1.6</v>
      </c>
    </row>
    <row r="98" spans="11:13" x14ac:dyDescent="0.2">
      <c r="L98" t="s">
        <v>56</v>
      </c>
      <c r="M98" s="17" t="s">
        <v>66</v>
      </c>
    </row>
    <row r="99" spans="11:13" x14ac:dyDescent="0.2">
      <c r="L99" t="s">
        <v>64</v>
      </c>
      <c r="M99" s="17" t="s">
        <v>66</v>
      </c>
    </row>
    <row r="100" spans="11:13" x14ac:dyDescent="0.2">
      <c r="K100" s="5" t="s">
        <v>20</v>
      </c>
      <c r="L100" s="12" t="s">
        <v>62</v>
      </c>
      <c r="M100" s="18">
        <v>17</v>
      </c>
    </row>
    <row r="101" spans="11:13" x14ac:dyDescent="0.2">
      <c r="K101" s="5"/>
      <c r="L101" s="12" t="s">
        <v>63</v>
      </c>
      <c r="M101" s="18">
        <v>16.600000000000001</v>
      </c>
    </row>
    <row r="102" spans="11:13" x14ac:dyDescent="0.2">
      <c r="K102" s="5"/>
      <c r="L102" s="12" t="s">
        <v>56</v>
      </c>
      <c r="M102" s="18" t="s">
        <v>66</v>
      </c>
    </row>
    <row r="103" spans="11:13" x14ac:dyDescent="0.2">
      <c r="K103" s="5"/>
      <c r="L103" s="12" t="s">
        <v>64</v>
      </c>
      <c r="M103" s="18" t="s">
        <v>66</v>
      </c>
    </row>
    <row r="104" spans="11:13" x14ac:dyDescent="0.2">
      <c r="K104" s="2" t="s">
        <v>21</v>
      </c>
      <c r="L104" t="s">
        <v>62</v>
      </c>
      <c r="M104" s="17">
        <v>18.399999999999999</v>
      </c>
    </row>
    <row r="105" spans="11:13" x14ac:dyDescent="0.2">
      <c r="L105" t="s">
        <v>63</v>
      </c>
      <c r="M105" s="17">
        <v>26.4</v>
      </c>
    </row>
    <row r="106" spans="11:13" x14ac:dyDescent="0.2">
      <c r="L106" t="s">
        <v>56</v>
      </c>
      <c r="M106" s="17">
        <v>50</v>
      </c>
    </row>
    <row r="107" spans="11:13" x14ac:dyDescent="0.2">
      <c r="L107" t="s">
        <v>64</v>
      </c>
      <c r="M107" s="17">
        <v>5</v>
      </c>
    </row>
    <row r="108" spans="11:13" x14ac:dyDescent="0.2">
      <c r="K108" s="5" t="s">
        <v>22</v>
      </c>
      <c r="L108" s="12" t="s">
        <v>62</v>
      </c>
      <c r="M108" s="18">
        <v>6.1</v>
      </c>
    </row>
    <row r="109" spans="11:13" x14ac:dyDescent="0.2">
      <c r="K109" s="5"/>
      <c r="L109" s="12" t="s">
        <v>63</v>
      </c>
      <c r="M109" s="18">
        <v>6.6</v>
      </c>
    </row>
    <row r="110" spans="11:13" x14ac:dyDescent="0.2">
      <c r="K110" s="5"/>
      <c r="L110" s="12" t="s">
        <v>56</v>
      </c>
      <c r="M110" s="18" t="s">
        <v>66</v>
      </c>
    </row>
    <row r="111" spans="11:13" x14ac:dyDescent="0.2">
      <c r="K111" s="5"/>
      <c r="L111" s="12" t="s">
        <v>64</v>
      </c>
      <c r="M111" s="18" t="s">
        <v>66</v>
      </c>
    </row>
    <row r="115" spans="10:17" x14ac:dyDescent="0.2">
      <c r="J115" s="10" t="s">
        <v>59</v>
      </c>
      <c r="K115" s="2" t="s">
        <v>26</v>
      </c>
      <c r="L115" t="s">
        <v>62</v>
      </c>
      <c r="M115" s="17">
        <v>14.2</v>
      </c>
      <c r="O115" s="5" t="s">
        <v>35</v>
      </c>
      <c r="P115" s="12" t="s">
        <v>62</v>
      </c>
      <c r="Q115" s="18">
        <v>61.4</v>
      </c>
    </row>
    <row r="116" spans="10:17" x14ac:dyDescent="0.2">
      <c r="L116" t="s">
        <v>63</v>
      </c>
      <c r="M116" s="17">
        <v>9.8000000000000007</v>
      </c>
      <c r="O116" s="5"/>
      <c r="P116" s="12" t="s">
        <v>63</v>
      </c>
      <c r="Q116" s="18">
        <v>47.6</v>
      </c>
    </row>
    <row r="117" spans="10:17" x14ac:dyDescent="0.2">
      <c r="L117" t="s">
        <v>56</v>
      </c>
      <c r="M117" s="17" t="s">
        <v>66</v>
      </c>
      <c r="O117" s="5"/>
      <c r="P117" s="12" t="s">
        <v>56</v>
      </c>
      <c r="Q117" s="18">
        <v>50</v>
      </c>
    </row>
    <row r="118" spans="10:17" x14ac:dyDescent="0.2">
      <c r="L118" t="s">
        <v>64</v>
      </c>
      <c r="M118" s="17">
        <v>5</v>
      </c>
      <c r="O118" s="5"/>
      <c r="P118" s="12" t="s">
        <v>64</v>
      </c>
      <c r="Q118" s="18">
        <v>5</v>
      </c>
    </row>
    <row r="119" spans="10:17" x14ac:dyDescent="0.2">
      <c r="K119" s="5" t="s">
        <v>27</v>
      </c>
      <c r="L119" s="12" t="s">
        <v>62</v>
      </c>
      <c r="M119" s="18">
        <v>58.9</v>
      </c>
      <c r="O119" s="2" t="s">
        <v>36</v>
      </c>
      <c r="P119" t="s">
        <v>62</v>
      </c>
      <c r="Q119" s="17">
        <v>25.9</v>
      </c>
    </row>
    <row r="120" spans="10:17" x14ac:dyDescent="0.2">
      <c r="K120" s="5"/>
      <c r="L120" s="12" t="s">
        <v>63</v>
      </c>
      <c r="M120" s="18">
        <v>64.099999999999994</v>
      </c>
      <c r="O120" s="2"/>
      <c r="P120" t="s">
        <v>63</v>
      </c>
      <c r="Q120" s="17">
        <v>18.2</v>
      </c>
    </row>
    <row r="121" spans="10:17" x14ac:dyDescent="0.2">
      <c r="K121" s="5"/>
      <c r="L121" s="12" t="s">
        <v>56</v>
      </c>
      <c r="M121" s="18">
        <v>100</v>
      </c>
      <c r="O121" s="2"/>
      <c r="P121" t="s">
        <v>56</v>
      </c>
      <c r="Q121" s="17">
        <v>50</v>
      </c>
    </row>
    <row r="122" spans="10:17" x14ac:dyDescent="0.2">
      <c r="K122" s="5"/>
      <c r="L122" s="12" t="s">
        <v>64</v>
      </c>
      <c r="M122" s="18">
        <v>90</v>
      </c>
      <c r="O122" s="2"/>
      <c r="P122" t="s">
        <v>64</v>
      </c>
      <c r="Q122" s="17">
        <v>90</v>
      </c>
    </row>
    <row r="123" spans="10:17" x14ac:dyDescent="0.2">
      <c r="K123" s="2" t="s">
        <v>28</v>
      </c>
      <c r="L123" t="s">
        <v>62</v>
      </c>
      <c r="M123" s="17">
        <v>92.7</v>
      </c>
      <c r="O123" s="5" t="s">
        <v>37</v>
      </c>
      <c r="P123" s="12" t="s">
        <v>62</v>
      </c>
      <c r="Q123" s="18">
        <f>2.1+6.3+4.9</f>
        <v>13.3</v>
      </c>
    </row>
    <row r="124" spans="10:17" x14ac:dyDescent="0.2">
      <c r="L124" t="s">
        <v>63</v>
      </c>
      <c r="M124" s="17">
        <v>92.7</v>
      </c>
      <c r="O124" s="5"/>
      <c r="P124" s="12" t="s">
        <v>63</v>
      </c>
      <c r="Q124" s="18">
        <f>6.4+2.8+2.8</f>
        <v>12</v>
      </c>
    </row>
    <row r="125" spans="10:17" x14ac:dyDescent="0.2">
      <c r="L125" t="s">
        <v>56</v>
      </c>
      <c r="M125" s="17">
        <v>100</v>
      </c>
      <c r="O125" s="5"/>
      <c r="P125" s="12" t="s">
        <v>56</v>
      </c>
      <c r="Q125" s="18" t="s">
        <v>66</v>
      </c>
    </row>
    <row r="126" spans="10:17" x14ac:dyDescent="0.2">
      <c r="L126" t="s">
        <v>64</v>
      </c>
      <c r="M126" s="17">
        <v>95</v>
      </c>
      <c r="O126" s="5"/>
      <c r="P126" s="12" t="s">
        <v>64</v>
      </c>
      <c r="Q126" s="18">
        <v>5</v>
      </c>
    </row>
    <row r="127" spans="10:17" x14ac:dyDescent="0.2">
      <c r="K127" s="5" t="s">
        <v>29</v>
      </c>
      <c r="L127" s="12" t="s">
        <v>62</v>
      </c>
      <c r="M127" s="18">
        <v>64.3</v>
      </c>
      <c r="O127" s="2" t="s">
        <v>38</v>
      </c>
      <c r="P127" t="s">
        <v>62</v>
      </c>
      <c r="Q127" s="17">
        <f>2+10.2+5.5</f>
        <v>17.7</v>
      </c>
    </row>
    <row r="128" spans="10:17" x14ac:dyDescent="0.2">
      <c r="K128" s="5"/>
      <c r="L128" s="12" t="s">
        <v>63</v>
      </c>
      <c r="M128" s="18">
        <v>62.6</v>
      </c>
      <c r="O128" s="2"/>
      <c r="P128" t="s">
        <v>63</v>
      </c>
      <c r="Q128" s="17">
        <f>1.7+13.1+4.9</f>
        <v>19.7</v>
      </c>
    </row>
    <row r="129" spans="11:17" x14ac:dyDescent="0.2">
      <c r="K129" s="5"/>
      <c r="L129" s="12" t="s">
        <v>56</v>
      </c>
      <c r="M129" s="18">
        <v>50</v>
      </c>
      <c r="O129" s="2"/>
      <c r="P129" t="s">
        <v>56</v>
      </c>
      <c r="Q129" s="17" t="s">
        <v>66</v>
      </c>
    </row>
    <row r="130" spans="11:17" x14ac:dyDescent="0.2">
      <c r="K130" s="5"/>
      <c r="L130" s="12" t="s">
        <v>64</v>
      </c>
      <c r="M130" s="18">
        <v>94.7</v>
      </c>
      <c r="O130" s="2"/>
      <c r="P130" t="s">
        <v>64</v>
      </c>
      <c r="Q130" s="17">
        <v>5</v>
      </c>
    </row>
    <row r="131" spans="11:17" x14ac:dyDescent="0.2">
      <c r="K131" s="2" t="s">
        <v>30</v>
      </c>
      <c r="L131" t="s">
        <v>62</v>
      </c>
      <c r="M131" s="17">
        <v>57.6</v>
      </c>
    </row>
    <row r="132" spans="11:17" x14ac:dyDescent="0.2">
      <c r="L132" t="s">
        <v>63</v>
      </c>
      <c r="M132" s="17">
        <v>54.3</v>
      </c>
    </row>
    <row r="133" spans="11:17" x14ac:dyDescent="0.2">
      <c r="L133" t="s">
        <v>56</v>
      </c>
      <c r="M133" s="17">
        <v>100</v>
      </c>
    </row>
    <row r="134" spans="11:17" x14ac:dyDescent="0.2">
      <c r="L134" t="s">
        <v>64</v>
      </c>
      <c r="M134" s="17">
        <v>90</v>
      </c>
    </row>
    <row r="135" spans="11:17" x14ac:dyDescent="0.2">
      <c r="K135" s="5" t="s">
        <v>31</v>
      </c>
      <c r="L135" s="12" t="s">
        <v>62</v>
      </c>
      <c r="M135" s="18">
        <f>0.2+1.9</f>
        <v>2.1</v>
      </c>
    </row>
    <row r="136" spans="11:17" x14ac:dyDescent="0.2">
      <c r="K136" s="5"/>
      <c r="L136" s="12" t="s">
        <v>63</v>
      </c>
      <c r="M136" s="18">
        <v>1.6</v>
      </c>
    </row>
    <row r="137" spans="11:17" x14ac:dyDescent="0.2">
      <c r="K137" s="5"/>
      <c r="L137" s="12" t="s">
        <v>56</v>
      </c>
      <c r="M137" s="18" t="s">
        <v>66</v>
      </c>
    </row>
    <row r="138" spans="11:17" x14ac:dyDescent="0.2">
      <c r="K138" s="5"/>
      <c r="L138" s="12" t="s">
        <v>64</v>
      </c>
      <c r="M138" s="18">
        <v>5</v>
      </c>
    </row>
    <row r="139" spans="11:17" x14ac:dyDescent="0.2">
      <c r="K139" s="2" t="s">
        <v>32</v>
      </c>
      <c r="L139" t="s">
        <v>62</v>
      </c>
      <c r="M139" s="17">
        <v>51.2</v>
      </c>
    </row>
    <row r="140" spans="11:17" x14ac:dyDescent="0.2">
      <c r="L140" t="s">
        <v>63</v>
      </c>
      <c r="M140" s="17">
        <v>52.7</v>
      </c>
    </row>
    <row r="141" spans="11:17" x14ac:dyDescent="0.2">
      <c r="L141" t="s">
        <v>56</v>
      </c>
      <c r="M141" s="17" t="s">
        <v>66</v>
      </c>
    </row>
    <row r="142" spans="11:17" x14ac:dyDescent="0.2">
      <c r="L142" t="s">
        <v>64</v>
      </c>
      <c r="M142" s="17">
        <v>90</v>
      </c>
    </row>
    <row r="143" spans="11:17" x14ac:dyDescent="0.2">
      <c r="K143" s="5" t="s">
        <v>33</v>
      </c>
      <c r="L143" s="12" t="s">
        <v>62</v>
      </c>
      <c r="M143" s="18">
        <v>42.1</v>
      </c>
    </row>
    <row r="144" spans="11:17" x14ac:dyDescent="0.2">
      <c r="K144" s="5"/>
      <c r="L144" s="12" t="s">
        <v>63</v>
      </c>
      <c r="M144" s="18">
        <v>32.6</v>
      </c>
    </row>
    <row r="145" spans="10:17" x14ac:dyDescent="0.2">
      <c r="K145" s="5"/>
      <c r="L145" s="12" t="s">
        <v>56</v>
      </c>
      <c r="M145" s="18">
        <v>100</v>
      </c>
    </row>
    <row r="146" spans="10:17" x14ac:dyDescent="0.2">
      <c r="K146" s="5"/>
      <c r="L146" s="12" t="s">
        <v>64</v>
      </c>
      <c r="M146" s="18">
        <v>5</v>
      </c>
    </row>
    <row r="147" spans="10:17" x14ac:dyDescent="0.2">
      <c r="K147" s="2" t="s">
        <v>34</v>
      </c>
      <c r="L147" t="s">
        <v>62</v>
      </c>
      <c r="M147" s="17">
        <v>80.2</v>
      </c>
    </row>
    <row r="148" spans="10:17" x14ac:dyDescent="0.2">
      <c r="L148" t="s">
        <v>63</v>
      </c>
      <c r="M148" s="17">
        <v>76.8</v>
      </c>
    </row>
    <row r="149" spans="10:17" x14ac:dyDescent="0.2">
      <c r="L149" t="s">
        <v>56</v>
      </c>
      <c r="M149" s="17">
        <v>50</v>
      </c>
    </row>
    <row r="150" spans="10:17" x14ac:dyDescent="0.2">
      <c r="L150" t="s">
        <v>64</v>
      </c>
      <c r="M150" s="17">
        <v>95</v>
      </c>
    </row>
    <row r="155" spans="10:17" x14ac:dyDescent="0.2">
      <c r="J155" s="10" t="s">
        <v>39</v>
      </c>
      <c r="K155" s="2" t="s">
        <v>26</v>
      </c>
      <c r="L155" t="s">
        <v>62</v>
      </c>
      <c r="M155" s="17">
        <v>4.0999999999999996</v>
      </c>
      <c r="O155" s="5" t="s">
        <v>35</v>
      </c>
      <c r="P155" s="12" t="s">
        <v>62</v>
      </c>
      <c r="Q155" s="18">
        <v>5.5</v>
      </c>
    </row>
    <row r="156" spans="10:17" x14ac:dyDescent="0.2">
      <c r="L156" t="s">
        <v>63</v>
      </c>
      <c r="M156" s="17">
        <v>5.5</v>
      </c>
      <c r="O156" s="5"/>
      <c r="P156" s="12" t="s">
        <v>63</v>
      </c>
      <c r="Q156" s="18">
        <v>2.4</v>
      </c>
    </row>
    <row r="157" spans="10:17" x14ac:dyDescent="0.2">
      <c r="L157" t="s">
        <v>56</v>
      </c>
      <c r="M157" s="17">
        <v>50</v>
      </c>
      <c r="O157" s="5"/>
      <c r="P157" s="12" t="s">
        <v>56</v>
      </c>
      <c r="Q157" s="18" t="s">
        <v>66</v>
      </c>
    </row>
    <row r="158" spans="10:17" x14ac:dyDescent="0.2">
      <c r="L158" t="s">
        <v>64</v>
      </c>
      <c r="M158" s="17">
        <v>85</v>
      </c>
      <c r="O158" s="5"/>
      <c r="P158" s="12" t="s">
        <v>64</v>
      </c>
      <c r="Q158" s="18">
        <v>85</v>
      </c>
    </row>
    <row r="159" spans="10:17" x14ac:dyDescent="0.2">
      <c r="K159" s="5" t="s">
        <v>27</v>
      </c>
      <c r="L159" s="12" t="s">
        <v>62</v>
      </c>
      <c r="M159" s="18">
        <v>5.7</v>
      </c>
      <c r="O159" s="2" t="s">
        <v>36</v>
      </c>
      <c r="P159" t="s">
        <v>62</v>
      </c>
      <c r="Q159" s="17">
        <v>3.9</v>
      </c>
    </row>
    <row r="160" spans="10:17" x14ac:dyDescent="0.2">
      <c r="K160" s="5"/>
      <c r="L160" s="12" t="s">
        <v>63</v>
      </c>
      <c r="M160" s="18">
        <v>7.2</v>
      </c>
      <c r="O160" s="2"/>
      <c r="P160" t="s">
        <v>63</v>
      </c>
      <c r="Q160" s="17">
        <v>6.9</v>
      </c>
    </row>
    <row r="161" spans="11:17" x14ac:dyDescent="0.2">
      <c r="K161" s="5"/>
      <c r="L161" s="12" t="s">
        <v>56</v>
      </c>
      <c r="M161" s="18" t="s">
        <v>66</v>
      </c>
      <c r="O161" s="2"/>
      <c r="P161" t="s">
        <v>56</v>
      </c>
      <c r="Q161" s="17" t="s">
        <v>66</v>
      </c>
    </row>
    <row r="162" spans="11:17" x14ac:dyDescent="0.2">
      <c r="K162" s="5"/>
      <c r="L162" s="12" t="s">
        <v>64</v>
      </c>
      <c r="M162" s="18" t="s">
        <v>66</v>
      </c>
      <c r="O162" s="2"/>
      <c r="P162" t="s">
        <v>64</v>
      </c>
      <c r="Q162" s="17" t="s">
        <v>66</v>
      </c>
    </row>
    <row r="163" spans="11:17" x14ac:dyDescent="0.2">
      <c r="K163" s="2" t="s">
        <v>28</v>
      </c>
      <c r="L163" t="s">
        <v>62</v>
      </c>
      <c r="M163" s="17">
        <v>8.6999999999999993</v>
      </c>
      <c r="O163" s="5" t="s">
        <v>37</v>
      </c>
      <c r="P163" s="12" t="s">
        <v>62</v>
      </c>
      <c r="Q163" s="18">
        <v>8.1999999999999993</v>
      </c>
    </row>
    <row r="164" spans="11:17" x14ac:dyDescent="0.2">
      <c r="L164" t="s">
        <v>63</v>
      </c>
      <c r="M164" s="17">
        <v>4.5999999999999996</v>
      </c>
      <c r="O164" s="5"/>
      <c r="P164" s="12" t="s">
        <v>63</v>
      </c>
      <c r="Q164" s="18">
        <v>7.3</v>
      </c>
    </row>
    <row r="165" spans="11:17" x14ac:dyDescent="0.2">
      <c r="L165" t="s">
        <v>56</v>
      </c>
      <c r="M165" s="17" t="s">
        <v>66</v>
      </c>
      <c r="O165" s="5"/>
      <c r="P165" s="12" t="s">
        <v>56</v>
      </c>
      <c r="Q165" s="18" t="s">
        <v>66</v>
      </c>
    </row>
    <row r="166" spans="11:17" x14ac:dyDescent="0.2">
      <c r="L166" t="s">
        <v>64</v>
      </c>
      <c r="M166" s="17">
        <v>89.5</v>
      </c>
      <c r="O166" s="5"/>
      <c r="P166" s="12" t="s">
        <v>64</v>
      </c>
      <c r="Q166" s="18" t="s">
        <v>66</v>
      </c>
    </row>
    <row r="167" spans="11:17" x14ac:dyDescent="0.2">
      <c r="K167" s="5" t="s">
        <v>29</v>
      </c>
      <c r="L167" s="12" t="s">
        <v>62</v>
      </c>
      <c r="M167" s="18">
        <v>7</v>
      </c>
      <c r="O167" s="2" t="s">
        <v>38</v>
      </c>
      <c r="P167" t="s">
        <v>62</v>
      </c>
      <c r="Q167" s="17">
        <v>6.7</v>
      </c>
    </row>
    <row r="168" spans="11:17" x14ac:dyDescent="0.2">
      <c r="K168" s="5"/>
      <c r="L168" s="12" t="s">
        <v>63</v>
      </c>
      <c r="M168" s="18">
        <v>7.2</v>
      </c>
      <c r="O168" s="2"/>
      <c r="P168" t="s">
        <v>63</v>
      </c>
      <c r="Q168" s="17">
        <v>5.8</v>
      </c>
    </row>
    <row r="169" spans="11:17" x14ac:dyDescent="0.2">
      <c r="K169" s="5"/>
      <c r="L169" s="12" t="s">
        <v>56</v>
      </c>
      <c r="M169" s="18" t="s">
        <v>66</v>
      </c>
      <c r="O169" s="2"/>
      <c r="P169" t="s">
        <v>56</v>
      </c>
      <c r="Q169" s="17" t="s">
        <v>66</v>
      </c>
    </row>
    <row r="170" spans="11:17" x14ac:dyDescent="0.2">
      <c r="K170" s="5"/>
      <c r="L170" s="12" t="s">
        <v>64</v>
      </c>
      <c r="M170" s="18" t="s">
        <v>66</v>
      </c>
      <c r="O170" s="2"/>
      <c r="P170" t="s">
        <v>64</v>
      </c>
      <c r="Q170" s="17" t="s">
        <v>66</v>
      </c>
    </row>
    <row r="171" spans="11:17" x14ac:dyDescent="0.2">
      <c r="K171" s="2" t="s">
        <v>30</v>
      </c>
      <c r="L171" t="s">
        <v>62</v>
      </c>
      <c r="M171" s="17">
        <v>5.2</v>
      </c>
    </row>
    <row r="172" spans="11:17" x14ac:dyDescent="0.2">
      <c r="L172" t="s">
        <v>63</v>
      </c>
      <c r="M172" s="17">
        <v>7.1</v>
      </c>
    </row>
    <row r="173" spans="11:17" x14ac:dyDescent="0.2">
      <c r="L173" t="s">
        <v>56</v>
      </c>
      <c r="M173" s="17" t="s">
        <v>66</v>
      </c>
    </row>
    <row r="174" spans="11:17" x14ac:dyDescent="0.2">
      <c r="L174" t="s">
        <v>64</v>
      </c>
      <c r="M174" s="17" t="s">
        <v>66</v>
      </c>
    </row>
    <row r="175" spans="11:17" x14ac:dyDescent="0.2">
      <c r="K175" s="5" t="s">
        <v>31</v>
      </c>
      <c r="L175" s="12" t="s">
        <v>62</v>
      </c>
      <c r="M175" s="18">
        <v>2.5</v>
      </c>
    </row>
    <row r="176" spans="11:17" x14ac:dyDescent="0.2">
      <c r="K176" s="5"/>
      <c r="L176" s="12" t="s">
        <v>63</v>
      </c>
      <c r="M176" s="18">
        <v>7.1</v>
      </c>
    </row>
    <row r="177" spans="11:13" x14ac:dyDescent="0.2">
      <c r="K177" s="5"/>
      <c r="L177" s="12" t="s">
        <v>56</v>
      </c>
      <c r="M177" s="18" t="s">
        <v>66</v>
      </c>
    </row>
    <row r="178" spans="11:13" x14ac:dyDescent="0.2">
      <c r="K178" s="5"/>
      <c r="L178" s="12" t="s">
        <v>64</v>
      </c>
      <c r="M178" s="18" t="s">
        <v>66</v>
      </c>
    </row>
    <row r="179" spans="11:13" x14ac:dyDescent="0.2">
      <c r="K179" s="2" t="s">
        <v>32</v>
      </c>
      <c r="L179" t="s">
        <v>62</v>
      </c>
      <c r="M179" s="17">
        <v>8.6999999999999993</v>
      </c>
    </row>
    <row r="180" spans="11:13" x14ac:dyDescent="0.2">
      <c r="L180" t="s">
        <v>63</v>
      </c>
      <c r="M180" s="17">
        <v>7.4</v>
      </c>
    </row>
    <row r="181" spans="11:13" x14ac:dyDescent="0.2">
      <c r="L181" t="s">
        <v>56</v>
      </c>
      <c r="M181" s="17" t="s">
        <v>66</v>
      </c>
    </row>
    <row r="182" spans="11:13" x14ac:dyDescent="0.2">
      <c r="L182" t="s">
        <v>64</v>
      </c>
      <c r="M182" s="17">
        <v>85</v>
      </c>
    </row>
    <row r="183" spans="11:13" x14ac:dyDescent="0.2">
      <c r="K183" s="5" t="s">
        <v>33</v>
      </c>
      <c r="L183" s="12" t="s">
        <v>62</v>
      </c>
      <c r="M183" s="18">
        <v>5.0999999999999996</v>
      </c>
    </row>
    <row r="184" spans="11:13" x14ac:dyDescent="0.2">
      <c r="K184" s="5"/>
      <c r="L184" s="12" t="s">
        <v>63</v>
      </c>
      <c r="M184" s="18">
        <v>1.9</v>
      </c>
    </row>
    <row r="185" spans="11:13" x14ac:dyDescent="0.2">
      <c r="K185" s="5"/>
      <c r="L185" s="12" t="s">
        <v>56</v>
      </c>
      <c r="M185" s="18" t="s">
        <v>66</v>
      </c>
    </row>
    <row r="186" spans="11:13" x14ac:dyDescent="0.2">
      <c r="K186" s="5"/>
      <c r="L186" s="12" t="s">
        <v>64</v>
      </c>
      <c r="M186" s="18" t="s">
        <v>66</v>
      </c>
    </row>
    <row r="187" spans="11:13" x14ac:dyDescent="0.2">
      <c r="K187" s="2" t="s">
        <v>34</v>
      </c>
      <c r="L187" t="s">
        <v>62</v>
      </c>
      <c r="M187" s="17">
        <v>5.5</v>
      </c>
    </row>
    <row r="188" spans="11:13" x14ac:dyDescent="0.2">
      <c r="L188" t="s">
        <v>63</v>
      </c>
      <c r="M188" s="17">
        <v>5.6</v>
      </c>
    </row>
    <row r="189" spans="11:13" x14ac:dyDescent="0.2">
      <c r="L189" t="s">
        <v>56</v>
      </c>
      <c r="M189" s="17" t="s">
        <v>66</v>
      </c>
    </row>
    <row r="190" spans="11:13" x14ac:dyDescent="0.2">
      <c r="L190" t="s">
        <v>64</v>
      </c>
      <c r="M190" s="17" t="s">
        <v>66</v>
      </c>
    </row>
    <row r="195" spans="10:17" x14ac:dyDescent="0.2">
      <c r="J195" s="10" t="s">
        <v>40</v>
      </c>
      <c r="K195" s="2" t="s">
        <v>26</v>
      </c>
      <c r="L195" t="s">
        <v>62</v>
      </c>
      <c r="M195" s="17">
        <v>65.2</v>
      </c>
      <c r="O195" s="5" t="s">
        <v>35</v>
      </c>
      <c r="P195" s="12" t="s">
        <v>62</v>
      </c>
      <c r="Q195" s="18">
        <v>48.9</v>
      </c>
    </row>
    <row r="196" spans="10:17" x14ac:dyDescent="0.2">
      <c r="L196" t="s">
        <v>63</v>
      </c>
      <c r="M196" s="17">
        <v>79.7</v>
      </c>
      <c r="O196" s="5"/>
      <c r="P196" s="12" t="s">
        <v>63</v>
      </c>
      <c r="Q196" s="18">
        <v>71.7</v>
      </c>
    </row>
    <row r="197" spans="10:17" x14ac:dyDescent="0.2">
      <c r="L197" t="s">
        <v>56</v>
      </c>
      <c r="M197" s="17">
        <v>100</v>
      </c>
      <c r="O197" s="5"/>
      <c r="P197" s="12" t="s">
        <v>56</v>
      </c>
      <c r="Q197" s="18">
        <v>100</v>
      </c>
    </row>
    <row r="198" spans="10:17" x14ac:dyDescent="0.2">
      <c r="L198" t="s">
        <v>64</v>
      </c>
      <c r="M198" s="17">
        <v>90</v>
      </c>
      <c r="O198" s="5"/>
      <c r="P198" s="12" t="s">
        <v>64</v>
      </c>
      <c r="Q198" s="18">
        <v>90</v>
      </c>
    </row>
    <row r="199" spans="10:17" x14ac:dyDescent="0.2">
      <c r="K199" s="5" t="s">
        <v>27</v>
      </c>
      <c r="L199" s="12" t="s">
        <v>62</v>
      </c>
      <c r="M199" s="18">
        <v>43.8</v>
      </c>
      <c r="O199" s="2" t="s">
        <v>36</v>
      </c>
      <c r="P199" t="s">
        <v>62</v>
      </c>
      <c r="Q199" s="17">
        <v>62.2</v>
      </c>
    </row>
    <row r="200" spans="10:17" x14ac:dyDescent="0.2">
      <c r="K200" s="5"/>
      <c r="L200" s="12" t="s">
        <v>63</v>
      </c>
      <c r="M200" s="18">
        <v>51.7</v>
      </c>
      <c r="O200" s="2"/>
      <c r="P200" t="s">
        <v>63</v>
      </c>
      <c r="Q200" s="17">
        <v>70.8</v>
      </c>
    </row>
    <row r="201" spans="10:17" x14ac:dyDescent="0.2">
      <c r="K201" s="5"/>
      <c r="L201" s="12" t="s">
        <v>56</v>
      </c>
      <c r="M201" s="18">
        <v>100</v>
      </c>
      <c r="O201" s="2"/>
      <c r="P201" t="s">
        <v>56</v>
      </c>
      <c r="Q201" s="17">
        <v>100</v>
      </c>
    </row>
    <row r="202" spans="10:17" x14ac:dyDescent="0.2">
      <c r="K202" s="5"/>
      <c r="L202" s="12" t="s">
        <v>64</v>
      </c>
      <c r="M202" s="18">
        <v>90</v>
      </c>
      <c r="O202" s="2"/>
      <c r="P202" t="s">
        <v>64</v>
      </c>
      <c r="Q202" s="17">
        <v>5</v>
      </c>
    </row>
    <row r="203" spans="10:17" x14ac:dyDescent="0.2">
      <c r="K203" s="2" t="s">
        <v>28</v>
      </c>
      <c r="L203" t="s">
        <v>62</v>
      </c>
      <c r="M203" s="17">
        <v>22.2</v>
      </c>
      <c r="O203" s="5" t="s">
        <v>37</v>
      </c>
      <c r="P203" s="12" t="s">
        <v>62</v>
      </c>
      <c r="Q203" s="18">
        <v>45.2</v>
      </c>
    </row>
    <row r="204" spans="10:17" x14ac:dyDescent="0.2">
      <c r="L204" t="s">
        <v>63</v>
      </c>
      <c r="M204" s="17">
        <v>39</v>
      </c>
      <c r="O204" s="5"/>
      <c r="P204" s="12" t="s">
        <v>63</v>
      </c>
      <c r="Q204" s="18">
        <v>51.3</v>
      </c>
    </row>
    <row r="205" spans="10:17" x14ac:dyDescent="0.2">
      <c r="L205" t="s">
        <v>56</v>
      </c>
      <c r="M205" s="17">
        <v>100</v>
      </c>
      <c r="O205" s="5"/>
      <c r="P205" s="12" t="s">
        <v>56</v>
      </c>
      <c r="Q205" s="18">
        <v>100</v>
      </c>
    </row>
    <row r="206" spans="10:17" x14ac:dyDescent="0.2">
      <c r="L206" t="s">
        <v>64</v>
      </c>
      <c r="M206" s="17">
        <v>90</v>
      </c>
      <c r="O206" s="5"/>
      <c r="P206" s="12" t="s">
        <v>64</v>
      </c>
      <c r="Q206" s="18">
        <v>10</v>
      </c>
    </row>
    <row r="207" spans="10:17" x14ac:dyDescent="0.2">
      <c r="K207" s="5" t="s">
        <v>29</v>
      </c>
      <c r="L207" s="12" t="s">
        <v>62</v>
      </c>
      <c r="M207" s="18">
        <v>37.4</v>
      </c>
      <c r="O207" s="2" t="s">
        <v>38</v>
      </c>
      <c r="P207" t="s">
        <v>62</v>
      </c>
      <c r="Q207" s="17">
        <v>49.5</v>
      </c>
    </row>
    <row r="208" spans="10:17" x14ac:dyDescent="0.2">
      <c r="K208" s="5"/>
      <c r="L208" s="12" t="s">
        <v>63</v>
      </c>
      <c r="M208" s="18">
        <v>47.8</v>
      </c>
      <c r="O208" s="2"/>
      <c r="P208" t="s">
        <v>63</v>
      </c>
      <c r="Q208" s="17">
        <v>55</v>
      </c>
    </row>
    <row r="209" spans="11:17" x14ac:dyDescent="0.2">
      <c r="K209" s="5"/>
      <c r="L209" s="12" t="s">
        <v>56</v>
      </c>
      <c r="M209" s="18">
        <v>100</v>
      </c>
      <c r="O209" s="2"/>
      <c r="P209" t="s">
        <v>56</v>
      </c>
      <c r="Q209" s="17">
        <v>100</v>
      </c>
    </row>
    <row r="210" spans="11:17" x14ac:dyDescent="0.2">
      <c r="K210" s="5"/>
      <c r="L210" s="12" t="s">
        <v>64</v>
      </c>
      <c r="M210" s="18">
        <v>90</v>
      </c>
      <c r="O210" s="2"/>
      <c r="P210" t="s">
        <v>64</v>
      </c>
      <c r="Q210" s="17">
        <v>10</v>
      </c>
    </row>
    <row r="211" spans="11:17" x14ac:dyDescent="0.2">
      <c r="K211" s="2" t="s">
        <v>30</v>
      </c>
      <c r="L211" t="s">
        <v>62</v>
      </c>
      <c r="M211" s="17">
        <v>34.4</v>
      </c>
    </row>
    <row r="212" spans="11:17" x14ac:dyDescent="0.2">
      <c r="L212" t="s">
        <v>63</v>
      </c>
      <c r="M212" s="17">
        <v>50.9</v>
      </c>
    </row>
    <row r="213" spans="11:17" x14ac:dyDescent="0.2">
      <c r="L213" t="s">
        <v>56</v>
      </c>
      <c r="M213" s="17">
        <v>100</v>
      </c>
    </row>
    <row r="214" spans="11:17" x14ac:dyDescent="0.2">
      <c r="L214" t="s">
        <v>64</v>
      </c>
      <c r="M214" s="17">
        <v>5</v>
      </c>
    </row>
    <row r="215" spans="11:17" x14ac:dyDescent="0.2">
      <c r="K215" s="5" t="s">
        <v>31</v>
      </c>
      <c r="L215" s="12" t="s">
        <v>62</v>
      </c>
      <c r="M215" s="18">
        <v>30.8</v>
      </c>
    </row>
    <row r="216" spans="11:17" x14ac:dyDescent="0.2">
      <c r="K216" s="5"/>
      <c r="L216" s="12" t="s">
        <v>63</v>
      </c>
      <c r="M216" s="18">
        <v>36.700000000000003</v>
      </c>
    </row>
    <row r="217" spans="11:17" x14ac:dyDescent="0.2">
      <c r="K217" s="5"/>
      <c r="L217" s="12" t="s">
        <v>56</v>
      </c>
      <c r="M217" s="18">
        <v>100</v>
      </c>
    </row>
    <row r="218" spans="11:17" x14ac:dyDescent="0.2">
      <c r="K218" s="5"/>
      <c r="L218" s="12" t="s">
        <v>64</v>
      </c>
      <c r="M218" s="18">
        <v>5</v>
      </c>
    </row>
    <row r="219" spans="11:17" x14ac:dyDescent="0.2">
      <c r="K219" s="2" t="s">
        <v>32</v>
      </c>
      <c r="L219" t="s">
        <v>62</v>
      </c>
      <c r="M219" s="17">
        <v>51.2</v>
      </c>
    </row>
    <row r="220" spans="11:17" x14ac:dyDescent="0.2">
      <c r="L220" t="s">
        <v>63</v>
      </c>
      <c r="M220" s="17">
        <v>63.6</v>
      </c>
    </row>
    <row r="221" spans="11:17" x14ac:dyDescent="0.2">
      <c r="L221" t="s">
        <v>56</v>
      </c>
      <c r="M221" s="17">
        <v>100</v>
      </c>
    </row>
    <row r="222" spans="11:17" x14ac:dyDescent="0.2">
      <c r="L222" t="s">
        <v>64</v>
      </c>
      <c r="M222" s="17">
        <v>94.7</v>
      </c>
    </row>
    <row r="223" spans="11:17" x14ac:dyDescent="0.2">
      <c r="K223" s="5" t="s">
        <v>33</v>
      </c>
      <c r="L223" s="12" t="s">
        <v>62</v>
      </c>
      <c r="M223" s="18">
        <v>42.3</v>
      </c>
    </row>
    <row r="224" spans="11:17" x14ac:dyDescent="0.2">
      <c r="K224" s="5"/>
      <c r="L224" s="12" t="s">
        <v>63</v>
      </c>
      <c r="M224" s="18">
        <v>49.4</v>
      </c>
    </row>
    <row r="225" spans="11:13" x14ac:dyDescent="0.2">
      <c r="K225" s="5"/>
      <c r="L225" s="12" t="s">
        <v>56</v>
      </c>
      <c r="M225" s="18">
        <v>100</v>
      </c>
    </row>
    <row r="226" spans="11:13" x14ac:dyDescent="0.2">
      <c r="K226" s="5"/>
      <c r="L226" s="12" t="s">
        <v>64</v>
      </c>
      <c r="M226" s="18">
        <v>5</v>
      </c>
    </row>
    <row r="227" spans="11:13" x14ac:dyDescent="0.2">
      <c r="K227" s="2" t="s">
        <v>34</v>
      </c>
      <c r="L227" t="s">
        <v>62</v>
      </c>
      <c r="M227" s="17">
        <v>25.1</v>
      </c>
    </row>
    <row r="228" spans="11:13" x14ac:dyDescent="0.2">
      <c r="L228" t="s">
        <v>63</v>
      </c>
      <c r="M228" s="17">
        <v>32</v>
      </c>
    </row>
    <row r="229" spans="11:13" x14ac:dyDescent="0.2">
      <c r="L229" t="s">
        <v>56</v>
      </c>
      <c r="M229" s="17">
        <v>100</v>
      </c>
    </row>
    <row r="230" spans="11:13" x14ac:dyDescent="0.2">
      <c r="L230" t="s">
        <v>64</v>
      </c>
      <c r="M230" s="17">
        <v>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Age</vt:lpstr>
      <vt:lpstr>Credit Hours</vt:lpstr>
      <vt:lpstr>DevEd</vt:lpstr>
      <vt:lpstr>Enrollment</vt:lpstr>
      <vt:lpstr>Ethnicity</vt:lpstr>
      <vt:lpstr>FirstGen</vt:lpstr>
      <vt:lpstr>Gender</vt:lpstr>
    </vt:vector>
  </TitlesOfParts>
  <Company>Alamo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Caro, Brittany</dc:creator>
  <cp:lastModifiedBy>Microsoft Office User</cp:lastModifiedBy>
  <dcterms:created xsi:type="dcterms:W3CDTF">2018-10-05T16:22:21Z</dcterms:created>
  <dcterms:modified xsi:type="dcterms:W3CDTF">2021-10-20T17:25:25Z</dcterms:modified>
</cp:coreProperties>
</file>